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showInkAnnotation="0" codeName="ThisWorkbook"/>
  <mc:AlternateContent xmlns:mc="http://schemas.openxmlformats.org/markup-compatibility/2006">
    <mc:Choice Requires="x15">
      <x15ac:absPath xmlns:x15ac="http://schemas.microsoft.com/office/spreadsheetml/2010/11/ac" url="S:\ELMI\ELMI\Dave_M\Dashboard\2024\09_Sep2024\"/>
    </mc:Choice>
  </mc:AlternateContent>
  <xr:revisionPtr revIDLastSave="0" documentId="13_ncr:1_{E3542C77-666D-4322-962D-98968D1F46C4}" xr6:coauthVersionLast="47" xr6:coauthVersionMax="47" xr10:uidLastSave="{00000000-0000-0000-0000-000000000000}"/>
  <workbookProtection workbookAlgorithmName="SHA-512" workbookHashValue="MdCTRhkL3uxJbWZJGvbCTiMYkJ3jAEvHHrlyqQrxhcfyNk5Ap4etkVTpFzKBN8CQLvAP36SczcqjmuyzQ57m2Q==" workbookSaltValue="tBgdaOBSvYAJ6hSJSEt1YQ==" workbookSpinCount="100000" lockStructure="1"/>
  <bookViews>
    <workbookView showSheetTabs="0" xWindow="-120" yWindow="-120" windowWidth="25440" windowHeight="15390" tabRatio="513" xr2:uid="{00000000-000D-0000-FFFF-FFFF00000000}"/>
  </bookViews>
  <sheets>
    <sheet name="Report" sheetId="1" r:id="rId1"/>
    <sheet name="LaborForce" sheetId="9" state="hidden" r:id="rId2"/>
    <sheet name="CES" sheetId="3" state="hidden" r:id="rId3"/>
    <sheet name="CPI" sheetId="4" state="hidden" r:id="rId4"/>
    <sheet name="Permits" sheetId="8" state="hidden" r:id="rId5"/>
    <sheet name="Claims" sheetId="6" state="hidden" r:id="rId6"/>
    <sheet name="Duration" sheetId="7" state="hidden" r:id="rId7"/>
    <sheet name="QCEW" sheetId="5" state="hidden" r:id="rId8"/>
  </sheets>
  <definedNames>
    <definedName name="_xlnm._FilterDatabase" localSheetId="2" hidden="1">CES!#REF!</definedName>
    <definedName name="_xlnm._FilterDatabase" localSheetId="1" hidden="1">LaborForce!$A$5:$DO$5</definedName>
    <definedName name="_xlnm._FilterDatabase" localSheetId="7" hidden="1">QCEW!$AO$1:$AV$310</definedName>
    <definedName name="_xlnm.Print_Area" localSheetId="1">LaborForce!$A$4:$N$279</definedName>
    <definedName name="_xlnm.Print_Area" localSheetId="0">Report!$B$1:$K$135</definedName>
    <definedName name="_xlnm.Print_Titles" localSheetId="1">LaborForce!$4:$4</definedName>
    <definedName name="top" localSheetId="1">LaborForce!$P$261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4" i="8" l="1"/>
  <c r="B8" i="4" l="1"/>
  <c r="B9" i="4"/>
  <c r="B10" i="4"/>
  <c r="B11" i="4"/>
  <c r="B12" i="4"/>
  <c r="B13" i="4"/>
  <c r="C24" i="3" l="1"/>
  <c r="D24" i="3"/>
  <c r="E24" i="3"/>
  <c r="C26" i="3"/>
  <c r="D26" i="3"/>
  <c r="E26" i="3"/>
  <c r="F26" i="3"/>
  <c r="G26" i="3"/>
  <c r="H26" i="3"/>
  <c r="I26" i="3"/>
  <c r="C27" i="3"/>
  <c r="D27" i="3"/>
  <c r="E27" i="3"/>
  <c r="F27" i="3"/>
  <c r="G27" i="3"/>
  <c r="H27" i="3"/>
  <c r="I27" i="3"/>
  <c r="C28" i="3"/>
  <c r="D28" i="3"/>
  <c r="E28" i="3"/>
  <c r="F28" i="3"/>
  <c r="G28" i="3"/>
  <c r="H28" i="3"/>
  <c r="I28" i="3"/>
  <c r="C29" i="3"/>
  <c r="D29" i="3"/>
  <c r="E29" i="3"/>
  <c r="F29" i="3"/>
  <c r="G29" i="3"/>
  <c r="H29" i="3"/>
  <c r="I29" i="3"/>
  <c r="C30" i="3"/>
  <c r="D30" i="3"/>
  <c r="E30" i="3"/>
  <c r="F30" i="3"/>
  <c r="G30" i="3"/>
  <c r="H30" i="3"/>
  <c r="I30" i="3"/>
  <c r="C31" i="3"/>
  <c r="D31" i="3"/>
  <c r="E31" i="3"/>
  <c r="F31" i="3"/>
  <c r="G31" i="3"/>
  <c r="H31" i="3"/>
  <c r="I31" i="3"/>
  <c r="C32" i="3"/>
  <c r="D32" i="3"/>
  <c r="E32" i="3"/>
  <c r="F32" i="3"/>
  <c r="G32" i="3"/>
  <c r="H32" i="3"/>
  <c r="I32" i="3"/>
  <c r="C33" i="3"/>
  <c r="D33" i="3"/>
  <c r="E33" i="3"/>
  <c r="F33" i="3"/>
  <c r="G33" i="3"/>
  <c r="H33" i="3"/>
  <c r="I33" i="3"/>
  <c r="C34" i="3"/>
  <c r="D34" i="3"/>
  <c r="E34" i="3"/>
  <c r="F34" i="3"/>
  <c r="G34" i="3"/>
  <c r="H34" i="3"/>
  <c r="I34" i="3"/>
  <c r="C35" i="3"/>
  <c r="D35" i="3"/>
  <c r="E35" i="3"/>
  <c r="F35" i="3"/>
  <c r="G35" i="3"/>
  <c r="H35" i="3"/>
  <c r="I35" i="3"/>
  <c r="C36" i="3"/>
  <c r="D36" i="3"/>
  <c r="E36" i="3"/>
  <c r="F36" i="3"/>
  <c r="G36" i="3"/>
  <c r="H36" i="3"/>
  <c r="I36" i="3"/>
  <c r="C37" i="3"/>
  <c r="D37" i="3"/>
  <c r="E37" i="3"/>
  <c r="F37" i="3"/>
  <c r="G37" i="3"/>
  <c r="H37" i="3"/>
  <c r="I37" i="3"/>
  <c r="C38" i="3"/>
  <c r="D38" i="3"/>
  <c r="E38" i="3"/>
  <c r="F38" i="3"/>
  <c r="G38" i="3"/>
  <c r="H38" i="3"/>
  <c r="I38" i="3"/>
  <c r="C39" i="3"/>
  <c r="D39" i="3"/>
  <c r="E39" i="3"/>
  <c r="F39" i="3"/>
  <c r="G39" i="3"/>
  <c r="H39" i="3"/>
  <c r="I39" i="3"/>
  <c r="C40" i="3"/>
  <c r="D40" i="3"/>
  <c r="E40" i="3"/>
  <c r="F40" i="3"/>
  <c r="G40" i="3"/>
  <c r="H40" i="3"/>
  <c r="I40" i="3"/>
  <c r="C41" i="3"/>
  <c r="D41" i="3"/>
  <c r="E41" i="3"/>
  <c r="F41" i="3"/>
  <c r="G41" i="3"/>
  <c r="H41" i="3"/>
  <c r="I41" i="3"/>
  <c r="C42" i="3"/>
  <c r="D42" i="3"/>
  <c r="E42" i="3"/>
  <c r="F42" i="3"/>
  <c r="G42" i="3"/>
  <c r="H42" i="3"/>
  <c r="I42" i="3"/>
  <c r="C43" i="3"/>
  <c r="D43" i="3"/>
  <c r="E43" i="3"/>
  <c r="F43" i="3"/>
  <c r="G43" i="3"/>
  <c r="H43" i="3"/>
  <c r="I43" i="3"/>
  <c r="C44" i="3"/>
  <c r="D44" i="3"/>
  <c r="E44" i="3"/>
  <c r="F44" i="3"/>
  <c r="G44" i="3"/>
  <c r="H44" i="3"/>
  <c r="I44" i="3"/>
  <c r="C45" i="3"/>
  <c r="D45" i="3"/>
  <c r="E45" i="3"/>
  <c r="F45" i="3"/>
  <c r="G45" i="3"/>
  <c r="H45" i="3"/>
  <c r="I45" i="3"/>
  <c r="C47" i="3"/>
  <c r="D47" i="3"/>
  <c r="E47" i="3"/>
  <c r="F47" i="3"/>
  <c r="G47" i="3"/>
  <c r="H47" i="3"/>
  <c r="I47" i="3"/>
  <c r="C48" i="3"/>
  <c r="D48" i="3"/>
  <c r="E48" i="3"/>
  <c r="F48" i="3"/>
  <c r="G48" i="3"/>
  <c r="H48" i="3"/>
  <c r="I48" i="3"/>
  <c r="C49" i="3"/>
  <c r="D49" i="3"/>
  <c r="E49" i="3"/>
  <c r="F49" i="3"/>
  <c r="G49" i="3"/>
  <c r="H49" i="3"/>
  <c r="I49" i="3"/>
  <c r="C50" i="3"/>
  <c r="D50" i="3"/>
  <c r="E50" i="3"/>
  <c r="F50" i="3"/>
  <c r="G50" i="3"/>
  <c r="H50" i="3"/>
  <c r="I50" i="3"/>
  <c r="C51" i="3"/>
  <c r="D51" i="3"/>
  <c r="E51" i="3"/>
  <c r="F51" i="3"/>
  <c r="G51" i="3"/>
  <c r="H51" i="3"/>
  <c r="I51" i="3"/>
  <c r="C52" i="3"/>
  <c r="D52" i="3"/>
  <c r="E52" i="3"/>
  <c r="F52" i="3"/>
  <c r="G52" i="3"/>
  <c r="H52" i="3"/>
  <c r="I52" i="3"/>
  <c r="C53" i="3"/>
  <c r="D53" i="3"/>
  <c r="E53" i="3"/>
  <c r="F53" i="3"/>
  <c r="G53" i="3"/>
  <c r="H53" i="3"/>
  <c r="I53" i="3"/>
  <c r="C54" i="3"/>
  <c r="D54" i="3"/>
  <c r="E54" i="3"/>
  <c r="F54" i="3"/>
  <c r="G54" i="3"/>
  <c r="H54" i="3"/>
  <c r="I54" i="3"/>
  <c r="C55" i="3"/>
  <c r="D55" i="3"/>
  <c r="E55" i="3"/>
  <c r="F55" i="3"/>
  <c r="G55" i="3"/>
  <c r="H55" i="3"/>
  <c r="I55" i="3"/>
  <c r="C56" i="3"/>
  <c r="D56" i="3"/>
  <c r="E56" i="3"/>
  <c r="F56" i="3"/>
  <c r="G56" i="3"/>
  <c r="H56" i="3"/>
  <c r="I56" i="3"/>
  <c r="C57" i="3"/>
  <c r="D57" i="3"/>
  <c r="E57" i="3"/>
  <c r="F57" i="3"/>
  <c r="G57" i="3"/>
  <c r="H57" i="3"/>
  <c r="I57" i="3"/>
  <c r="C58" i="3"/>
  <c r="D58" i="3"/>
  <c r="E58" i="3"/>
  <c r="F58" i="3"/>
  <c r="G58" i="3"/>
  <c r="H58" i="3"/>
  <c r="I58" i="3"/>
  <c r="AX309" i="5"/>
  <c r="AX308" i="5"/>
  <c r="AX307" i="5"/>
  <c r="AX306" i="5"/>
  <c r="AX305" i="5"/>
  <c r="AX304" i="5"/>
  <c r="AX303" i="5"/>
  <c r="AX302" i="5"/>
  <c r="AX301" i="5"/>
  <c r="AX300" i="5"/>
  <c r="AX299" i="5"/>
  <c r="AX298" i="5"/>
  <c r="AX297" i="5"/>
  <c r="AX296" i="5"/>
  <c r="AX295" i="5"/>
  <c r="AX294" i="5"/>
  <c r="AX293" i="5"/>
  <c r="AX292" i="5"/>
  <c r="AX291" i="5"/>
  <c r="AX290" i="5"/>
  <c r="AX289" i="5"/>
  <c r="AX288" i="5"/>
  <c r="AX287" i="5"/>
  <c r="AX286" i="5"/>
  <c r="AX285" i="5"/>
  <c r="AX284" i="5"/>
  <c r="AX283" i="5"/>
  <c r="AX282" i="5"/>
  <c r="AX281" i="5"/>
  <c r="AX280" i="5"/>
  <c r="AX279" i="5"/>
  <c r="AX278" i="5"/>
  <c r="AX277" i="5"/>
  <c r="AX276" i="5"/>
  <c r="AX275" i="5"/>
  <c r="AX274" i="5"/>
  <c r="AX273" i="5"/>
  <c r="AX272" i="5"/>
  <c r="AX271" i="5"/>
  <c r="AX270" i="5"/>
  <c r="AX269" i="5"/>
  <c r="AX268" i="5"/>
  <c r="AX267" i="5"/>
  <c r="AX266" i="5"/>
  <c r="AX265" i="5"/>
  <c r="AX264" i="5"/>
  <c r="AX263" i="5"/>
  <c r="AX262" i="5"/>
  <c r="AX261" i="5"/>
  <c r="AX260" i="5"/>
  <c r="AX259" i="5"/>
  <c r="AX258" i="5"/>
  <c r="AX257" i="5"/>
  <c r="AX256" i="5"/>
  <c r="AX255" i="5"/>
  <c r="AX254" i="5"/>
  <c r="AX253" i="5"/>
  <c r="AX252" i="5"/>
  <c r="AX251" i="5"/>
  <c r="AX250" i="5"/>
  <c r="AX249" i="5"/>
  <c r="AX248" i="5"/>
  <c r="AX247" i="5"/>
  <c r="AX246" i="5"/>
  <c r="AX245" i="5"/>
  <c r="AX244" i="5"/>
  <c r="AX243" i="5"/>
  <c r="AX242" i="5"/>
  <c r="AX241" i="5"/>
  <c r="AX240" i="5"/>
  <c r="AX239" i="5"/>
  <c r="AX238" i="5"/>
  <c r="AX237" i="5"/>
  <c r="AX236" i="5"/>
  <c r="AX235" i="5"/>
  <c r="AX234" i="5"/>
  <c r="AX233" i="5"/>
  <c r="AX232" i="5"/>
  <c r="AX231" i="5"/>
  <c r="AX230" i="5"/>
  <c r="AX229" i="5"/>
  <c r="AX228" i="5"/>
  <c r="AX227" i="5"/>
  <c r="AX226" i="5"/>
  <c r="AX225" i="5"/>
  <c r="AX224" i="5"/>
  <c r="AX223" i="5"/>
  <c r="AX222" i="5"/>
  <c r="AX221" i="5"/>
  <c r="AX220" i="5"/>
  <c r="AX219" i="5"/>
  <c r="AX218" i="5"/>
  <c r="AX217" i="5"/>
  <c r="AX216" i="5"/>
  <c r="AX215" i="5"/>
  <c r="AX214" i="5"/>
  <c r="AX213" i="5"/>
  <c r="AX212" i="5"/>
  <c r="AX211" i="5"/>
  <c r="AX210" i="5"/>
  <c r="AX209" i="5"/>
  <c r="AX208" i="5"/>
  <c r="AX207" i="5"/>
  <c r="AX206" i="5"/>
  <c r="AX205" i="5"/>
  <c r="AX204" i="5"/>
  <c r="AX203" i="5"/>
  <c r="AX202" i="5"/>
  <c r="AX201" i="5"/>
  <c r="AX200" i="5"/>
  <c r="AX199" i="5"/>
  <c r="AX198" i="5"/>
  <c r="AX197" i="5"/>
  <c r="AX196" i="5"/>
  <c r="AX195" i="5"/>
  <c r="AX194" i="5"/>
  <c r="AX193" i="5"/>
  <c r="AX192" i="5"/>
  <c r="AX191" i="5"/>
  <c r="AX190" i="5"/>
  <c r="AX189" i="5"/>
  <c r="AX188" i="5"/>
  <c r="AX187" i="5"/>
  <c r="AX186" i="5"/>
  <c r="AX185" i="5"/>
  <c r="AX184" i="5"/>
  <c r="AX183" i="5"/>
  <c r="AX182" i="5"/>
  <c r="AX181" i="5"/>
  <c r="AX180" i="5"/>
  <c r="AX179" i="5"/>
  <c r="AX178" i="5"/>
  <c r="AX177" i="5"/>
  <c r="AX176" i="5"/>
  <c r="AX175" i="5"/>
  <c r="AX174" i="5"/>
  <c r="AX173" i="5"/>
  <c r="AX172" i="5"/>
  <c r="AX171" i="5"/>
  <c r="AX170" i="5"/>
  <c r="AX169" i="5"/>
  <c r="AX168" i="5"/>
  <c r="AX167" i="5"/>
  <c r="AX166" i="5"/>
  <c r="AX165" i="5"/>
  <c r="AX164" i="5"/>
  <c r="AX163" i="5"/>
  <c r="AX162" i="5"/>
  <c r="AX161" i="5"/>
  <c r="AX160" i="5"/>
  <c r="AX159" i="5"/>
  <c r="AX158" i="5"/>
  <c r="AX157" i="5"/>
  <c r="AX156" i="5"/>
  <c r="AX155" i="5"/>
  <c r="AX154" i="5"/>
  <c r="AX153" i="5"/>
  <c r="AX152" i="5"/>
  <c r="AX151" i="5"/>
  <c r="AX150" i="5"/>
  <c r="AX149" i="5"/>
  <c r="AX148" i="5"/>
  <c r="AX147" i="5"/>
  <c r="AX146" i="5"/>
  <c r="AX145" i="5"/>
  <c r="AX144" i="5"/>
  <c r="AX143" i="5"/>
  <c r="AX142" i="5"/>
  <c r="AX141" i="5"/>
  <c r="AX140" i="5"/>
  <c r="AX139" i="5"/>
  <c r="AX138" i="5"/>
  <c r="AX137" i="5"/>
  <c r="AX136" i="5"/>
  <c r="AX135" i="5"/>
  <c r="AX134" i="5"/>
  <c r="AX133" i="5"/>
  <c r="AX132" i="5"/>
  <c r="AX131" i="5"/>
  <c r="AX130" i="5"/>
  <c r="AX129" i="5"/>
  <c r="AX128" i="5"/>
  <c r="AX127" i="5"/>
  <c r="AX126" i="5"/>
  <c r="AX125" i="5"/>
  <c r="AX124" i="5"/>
  <c r="AX123" i="5"/>
  <c r="AX122" i="5"/>
  <c r="AX121" i="5"/>
  <c r="AX120" i="5"/>
  <c r="AX119" i="5"/>
  <c r="AX118" i="5"/>
  <c r="AX117" i="5"/>
  <c r="AX116" i="5"/>
  <c r="AX115" i="5"/>
  <c r="AX114" i="5"/>
  <c r="AX113" i="5"/>
  <c r="AX112" i="5"/>
  <c r="AX111" i="5"/>
  <c r="AX110" i="5"/>
  <c r="AX109" i="5"/>
  <c r="AX108" i="5"/>
  <c r="AX107" i="5"/>
  <c r="AX106" i="5"/>
  <c r="AX105" i="5"/>
  <c r="AX104" i="5"/>
  <c r="AX103" i="5"/>
  <c r="AX102" i="5"/>
  <c r="AX101" i="5"/>
  <c r="AX100" i="5"/>
  <c r="AX99" i="5"/>
  <c r="AX98" i="5"/>
  <c r="AX97" i="5"/>
  <c r="AX96" i="5"/>
  <c r="AX95" i="5"/>
  <c r="AX94" i="5"/>
  <c r="AX93" i="5"/>
  <c r="AX92" i="5"/>
  <c r="AX91" i="5"/>
  <c r="AX90" i="5"/>
  <c r="AX89" i="5"/>
  <c r="AX88" i="5"/>
  <c r="AX87" i="5"/>
  <c r="AX86" i="5"/>
  <c r="AX85" i="5"/>
  <c r="AX84" i="5"/>
  <c r="AX83" i="5"/>
  <c r="AX82" i="5"/>
  <c r="AX81" i="5"/>
  <c r="AX80" i="5"/>
  <c r="AX79" i="5"/>
  <c r="AX78" i="5"/>
  <c r="AX77" i="5"/>
  <c r="AX76" i="5"/>
  <c r="AX75" i="5"/>
  <c r="AX74" i="5"/>
  <c r="AX73" i="5"/>
  <c r="AX72" i="5"/>
  <c r="AX71" i="5"/>
  <c r="AX70" i="5"/>
  <c r="AX69" i="5"/>
  <c r="AX68" i="5"/>
  <c r="AX67" i="5"/>
  <c r="AX66" i="5"/>
  <c r="AX65" i="5"/>
  <c r="AX64" i="5"/>
  <c r="AX63" i="5"/>
  <c r="AX62" i="5"/>
  <c r="AX61" i="5"/>
  <c r="AX60" i="5"/>
  <c r="AX59" i="5"/>
  <c r="AX58" i="5"/>
  <c r="AX57" i="5"/>
  <c r="AX56" i="5"/>
  <c r="AX55" i="5"/>
  <c r="AX54" i="5"/>
  <c r="AX53" i="5"/>
  <c r="AX52" i="5"/>
  <c r="AX51" i="5"/>
  <c r="AX50" i="5"/>
  <c r="AX49" i="5"/>
  <c r="AX48" i="5"/>
  <c r="AX47" i="5"/>
  <c r="AX46" i="5"/>
  <c r="AX45" i="5"/>
  <c r="AX44" i="5"/>
  <c r="AX43" i="5"/>
  <c r="AX42" i="5"/>
  <c r="AX41" i="5"/>
  <c r="AX40" i="5"/>
  <c r="AX39" i="5"/>
  <c r="AX38" i="5"/>
  <c r="AX37" i="5"/>
  <c r="AX36" i="5"/>
  <c r="AX35" i="5"/>
  <c r="AX34" i="5"/>
  <c r="AX33" i="5"/>
  <c r="AX32" i="5"/>
  <c r="AX31" i="5"/>
  <c r="AX30" i="5"/>
  <c r="AX29" i="5"/>
  <c r="AX28" i="5"/>
  <c r="AX27" i="5"/>
  <c r="AX26" i="5"/>
  <c r="AX25" i="5"/>
  <c r="AX24" i="5"/>
  <c r="AX23" i="5"/>
  <c r="AX22" i="5"/>
  <c r="AX21" i="5"/>
  <c r="AX20" i="5"/>
  <c r="AX19" i="5"/>
  <c r="AX18" i="5"/>
  <c r="AX17" i="5"/>
  <c r="AX16" i="5"/>
  <c r="AX15" i="5"/>
  <c r="AX14" i="5"/>
  <c r="AX13" i="5"/>
  <c r="AX12" i="5"/>
  <c r="AX11" i="5"/>
  <c r="AX10" i="5"/>
  <c r="AX9" i="5"/>
  <c r="AX8" i="5"/>
  <c r="AX7" i="5"/>
  <c r="AX6" i="5"/>
  <c r="AX5" i="5"/>
  <c r="AX4" i="5"/>
  <c r="AX3" i="5"/>
  <c r="AX2" i="5"/>
  <c r="AY1" i="5" l="1"/>
  <c r="B19" i="4"/>
  <c r="B20" i="4"/>
  <c r="B21" i="4"/>
  <c r="B22" i="4"/>
  <c r="B23" i="4"/>
  <c r="B24" i="4"/>
  <c r="C8" i="8"/>
  <c r="B8" i="8"/>
  <c r="A8" i="8"/>
  <c r="C7" i="8"/>
  <c r="B7" i="8"/>
  <c r="A7" i="8"/>
  <c r="I25" i="8"/>
  <c r="R132" i="3"/>
  <c r="M12" i="7" l="1"/>
  <c r="A1" i="5" l="1"/>
  <c r="O34" i="5"/>
  <c r="G15" i="3" l="1"/>
  <c r="I62" i="3" l="1"/>
  <c r="H62" i="3"/>
  <c r="G62" i="3"/>
  <c r="F62" i="3"/>
  <c r="E62" i="3"/>
  <c r="D62" i="3"/>
  <c r="C62" i="3"/>
  <c r="I61" i="3"/>
  <c r="H61" i="3"/>
  <c r="G61" i="3"/>
  <c r="F61" i="3"/>
  <c r="E61" i="3"/>
  <c r="D61" i="3"/>
  <c r="C61" i="3"/>
  <c r="I60" i="3"/>
  <c r="H60" i="3"/>
  <c r="G60" i="3"/>
  <c r="F60" i="3"/>
  <c r="E60" i="3"/>
  <c r="D60" i="3"/>
  <c r="C60" i="3"/>
  <c r="I59" i="3"/>
  <c r="H59" i="3"/>
  <c r="G59" i="3"/>
  <c r="F59" i="3"/>
  <c r="E59" i="3"/>
  <c r="D59" i="3"/>
  <c r="C59" i="3"/>
  <c r="A7" i="4" l="1"/>
  <c r="G17" i="3" l="1"/>
  <c r="R114" i="3" l="1"/>
  <c r="G16" i="3" l="1"/>
  <c r="C85" i="1" l="1"/>
  <c r="R154" i="3" l="1"/>
  <c r="T154" i="3"/>
  <c r="N34" i="5" l="1"/>
  <c r="N33" i="5"/>
  <c r="N32" i="5"/>
  <c r="B10" i="5"/>
  <c r="T127" i="3" l="1"/>
  <c r="U127" i="3" s="1"/>
  <c r="T126" i="3"/>
  <c r="R127" i="3"/>
  <c r="R126" i="3"/>
  <c r="R111" i="3"/>
  <c r="S111" i="3" s="1"/>
  <c r="T111" i="3"/>
  <c r="U111" i="3" s="1"/>
  <c r="R112" i="3"/>
  <c r="S112" i="3" s="1"/>
  <c r="T112" i="3"/>
  <c r="U112" i="3" s="1"/>
  <c r="L12" i="7" l="1"/>
  <c r="Z4" i="5" l="1"/>
  <c r="Z5" i="5"/>
  <c r="Z6" i="5"/>
  <c r="Z7" i="5"/>
  <c r="Z8" i="5"/>
  <c r="Z9" i="5"/>
  <c r="Z10" i="5"/>
  <c r="Z11" i="5"/>
  <c r="Z12" i="5"/>
  <c r="Z13" i="5"/>
  <c r="Z14" i="5"/>
  <c r="Z15" i="5"/>
  <c r="Z16" i="5"/>
  <c r="Z17" i="5"/>
  <c r="Z18" i="5"/>
  <c r="Z19" i="5"/>
  <c r="Z20" i="5"/>
  <c r="Z21" i="5"/>
  <c r="Z22" i="5"/>
  <c r="Z23" i="5"/>
  <c r="Z24" i="5"/>
  <c r="Z25" i="5"/>
  <c r="Z26" i="5"/>
  <c r="Z27" i="5"/>
  <c r="Z28" i="5"/>
  <c r="Z29" i="5"/>
  <c r="Z30" i="5"/>
  <c r="N4" i="5"/>
  <c r="N5" i="5"/>
  <c r="N6" i="5"/>
  <c r="N7" i="5"/>
  <c r="N8" i="5"/>
  <c r="N9" i="5"/>
  <c r="N10" i="5"/>
  <c r="N11" i="5"/>
  <c r="N12" i="5"/>
  <c r="N13" i="5"/>
  <c r="N14" i="5"/>
  <c r="N15" i="5"/>
  <c r="N16" i="5"/>
  <c r="N17" i="5"/>
  <c r="N18" i="5"/>
  <c r="N19" i="5"/>
  <c r="N20" i="5"/>
  <c r="N21" i="5"/>
  <c r="N22" i="5"/>
  <c r="N23" i="5"/>
  <c r="N24" i="5"/>
  <c r="N25" i="5"/>
  <c r="N26" i="5"/>
  <c r="N27" i="5"/>
  <c r="N28" i="5"/>
  <c r="N29" i="5"/>
  <c r="N30" i="5"/>
  <c r="B4" i="5"/>
  <c r="B5" i="5"/>
  <c r="B6" i="5"/>
  <c r="B7" i="5"/>
  <c r="B8" i="5"/>
  <c r="B9" i="5"/>
  <c r="B11" i="5"/>
  <c r="B12" i="5"/>
  <c r="B13" i="5"/>
  <c r="B14" i="5"/>
  <c r="B15" i="5"/>
  <c r="B16" i="5"/>
  <c r="B17" i="5"/>
  <c r="B18" i="5"/>
  <c r="B19" i="5"/>
  <c r="B20" i="5"/>
  <c r="B21" i="5"/>
  <c r="B22" i="5"/>
  <c r="B23" i="5"/>
  <c r="B24" i="5"/>
  <c r="B25" i="5"/>
  <c r="B26" i="5"/>
  <c r="B27" i="5"/>
  <c r="B28" i="5"/>
  <c r="B29" i="5"/>
  <c r="B30" i="5"/>
  <c r="C4" i="5"/>
  <c r="D4" i="5"/>
  <c r="E4" i="5"/>
  <c r="F4" i="5"/>
  <c r="G4" i="5"/>
  <c r="H4" i="5"/>
  <c r="I4" i="5"/>
  <c r="J4" i="5"/>
  <c r="K4" i="5"/>
  <c r="L4" i="5"/>
  <c r="C5" i="5"/>
  <c r="D5" i="5"/>
  <c r="E5" i="5"/>
  <c r="F5" i="5"/>
  <c r="G5" i="5"/>
  <c r="H5" i="5"/>
  <c r="I5" i="5"/>
  <c r="J5" i="5"/>
  <c r="K5" i="5"/>
  <c r="L5" i="5"/>
  <c r="C6" i="5"/>
  <c r="D6" i="5"/>
  <c r="E6" i="5"/>
  <c r="F6" i="5"/>
  <c r="G6" i="5"/>
  <c r="H6" i="5"/>
  <c r="I6" i="5"/>
  <c r="J6" i="5"/>
  <c r="K6" i="5"/>
  <c r="L6" i="5"/>
  <c r="C7" i="5"/>
  <c r="D7" i="5"/>
  <c r="E7" i="5"/>
  <c r="F7" i="5"/>
  <c r="G7" i="5"/>
  <c r="H7" i="5"/>
  <c r="I7" i="5"/>
  <c r="J7" i="5"/>
  <c r="K7" i="5"/>
  <c r="L7" i="5"/>
  <c r="C8" i="5"/>
  <c r="D8" i="5"/>
  <c r="E8" i="5"/>
  <c r="F8" i="5"/>
  <c r="G8" i="5"/>
  <c r="H8" i="5"/>
  <c r="I8" i="5"/>
  <c r="J8" i="5"/>
  <c r="K8" i="5"/>
  <c r="L8" i="5"/>
  <c r="C9" i="5"/>
  <c r="D9" i="5"/>
  <c r="E9" i="5"/>
  <c r="F9" i="5"/>
  <c r="G9" i="5"/>
  <c r="H9" i="5"/>
  <c r="I9" i="5"/>
  <c r="J9" i="5"/>
  <c r="K9" i="5"/>
  <c r="L9" i="5"/>
  <c r="C10" i="5"/>
  <c r="D10" i="5"/>
  <c r="E10" i="5"/>
  <c r="F10" i="5"/>
  <c r="G10" i="5"/>
  <c r="H10" i="5"/>
  <c r="I10" i="5"/>
  <c r="J10" i="5"/>
  <c r="K10" i="5"/>
  <c r="L10" i="5"/>
  <c r="C11" i="5"/>
  <c r="D11" i="5"/>
  <c r="E11" i="5"/>
  <c r="F11" i="5"/>
  <c r="G11" i="5"/>
  <c r="H11" i="5"/>
  <c r="I11" i="5"/>
  <c r="J11" i="5"/>
  <c r="K11" i="5"/>
  <c r="L11" i="5"/>
  <c r="C12" i="5"/>
  <c r="D12" i="5"/>
  <c r="E12" i="5"/>
  <c r="F12" i="5"/>
  <c r="G12" i="5"/>
  <c r="H12" i="5"/>
  <c r="I12" i="5"/>
  <c r="J12" i="5"/>
  <c r="K12" i="5"/>
  <c r="L12" i="5"/>
  <c r="C13" i="5"/>
  <c r="D13" i="5"/>
  <c r="E13" i="5"/>
  <c r="F13" i="5"/>
  <c r="G13" i="5"/>
  <c r="H13" i="5"/>
  <c r="I13" i="5"/>
  <c r="J13" i="5"/>
  <c r="K13" i="5"/>
  <c r="L13" i="5"/>
  <c r="C14" i="5"/>
  <c r="D14" i="5"/>
  <c r="E14" i="5"/>
  <c r="F14" i="5"/>
  <c r="G14" i="5"/>
  <c r="H14" i="5"/>
  <c r="I14" i="5"/>
  <c r="J14" i="5"/>
  <c r="K14" i="5"/>
  <c r="L14" i="5"/>
  <c r="C15" i="5"/>
  <c r="D15" i="5"/>
  <c r="E15" i="5"/>
  <c r="F15" i="5"/>
  <c r="G15" i="5"/>
  <c r="H15" i="5"/>
  <c r="I15" i="5"/>
  <c r="J15" i="5"/>
  <c r="K15" i="5"/>
  <c r="L15" i="5"/>
  <c r="C16" i="5"/>
  <c r="D16" i="5"/>
  <c r="E16" i="5"/>
  <c r="F16" i="5"/>
  <c r="G16" i="5"/>
  <c r="H16" i="5"/>
  <c r="I16" i="5"/>
  <c r="J16" i="5"/>
  <c r="K16" i="5"/>
  <c r="L16" i="5"/>
  <c r="C17" i="5"/>
  <c r="D17" i="5"/>
  <c r="E17" i="5"/>
  <c r="F17" i="5"/>
  <c r="G17" i="5"/>
  <c r="H17" i="5"/>
  <c r="I17" i="5"/>
  <c r="J17" i="5"/>
  <c r="K17" i="5"/>
  <c r="L17" i="5"/>
  <c r="C18" i="5"/>
  <c r="D18" i="5"/>
  <c r="E18" i="5"/>
  <c r="F18" i="5"/>
  <c r="G18" i="5"/>
  <c r="H18" i="5"/>
  <c r="I18" i="5"/>
  <c r="J18" i="5"/>
  <c r="K18" i="5"/>
  <c r="L18" i="5"/>
  <c r="C19" i="5"/>
  <c r="D19" i="5"/>
  <c r="E19" i="5"/>
  <c r="F19" i="5"/>
  <c r="G19" i="5"/>
  <c r="H19" i="5"/>
  <c r="I19" i="5"/>
  <c r="J19" i="5"/>
  <c r="K19" i="5"/>
  <c r="L19" i="5"/>
  <c r="C20" i="5"/>
  <c r="D20" i="5"/>
  <c r="E20" i="5"/>
  <c r="F20" i="5"/>
  <c r="G20" i="5"/>
  <c r="H20" i="5"/>
  <c r="I20" i="5"/>
  <c r="J20" i="5"/>
  <c r="K20" i="5"/>
  <c r="L20" i="5"/>
  <c r="C21" i="5"/>
  <c r="D21" i="5"/>
  <c r="E21" i="5"/>
  <c r="F21" i="5"/>
  <c r="G21" i="5"/>
  <c r="H21" i="5"/>
  <c r="I21" i="5"/>
  <c r="J21" i="5"/>
  <c r="K21" i="5"/>
  <c r="L21" i="5"/>
  <c r="C22" i="5"/>
  <c r="D22" i="5"/>
  <c r="E22" i="5"/>
  <c r="F22" i="5"/>
  <c r="G22" i="5"/>
  <c r="H22" i="5"/>
  <c r="I22" i="5"/>
  <c r="J22" i="5"/>
  <c r="K22" i="5"/>
  <c r="L22" i="5"/>
  <c r="C23" i="5"/>
  <c r="D23" i="5"/>
  <c r="E23" i="5"/>
  <c r="F23" i="5"/>
  <c r="G23" i="5"/>
  <c r="H23" i="5"/>
  <c r="I23" i="5"/>
  <c r="J23" i="5"/>
  <c r="K23" i="5"/>
  <c r="L23" i="5"/>
  <c r="C24" i="5"/>
  <c r="D24" i="5"/>
  <c r="E24" i="5"/>
  <c r="F24" i="5"/>
  <c r="G24" i="5"/>
  <c r="H24" i="5"/>
  <c r="I24" i="5"/>
  <c r="J24" i="5"/>
  <c r="K24" i="5"/>
  <c r="L24" i="5"/>
  <c r="C25" i="5"/>
  <c r="D25" i="5"/>
  <c r="E25" i="5"/>
  <c r="F25" i="5"/>
  <c r="G25" i="5"/>
  <c r="H25" i="5"/>
  <c r="I25" i="5"/>
  <c r="J25" i="5"/>
  <c r="K25" i="5"/>
  <c r="L25" i="5"/>
  <c r="C26" i="5"/>
  <c r="D26" i="5"/>
  <c r="E26" i="5"/>
  <c r="F26" i="5"/>
  <c r="G26" i="5"/>
  <c r="H26" i="5"/>
  <c r="I26" i="5"/>
  <c r="J26" i="5"/>
  <c r="K26" i="5"/>
  <c r="L26" i="5"/>
  <c r="C27" i="5"/>
  <c r="D27" i="5"/>
  <c r="E27" i="5"/>
  <c r="F27" i="5"/>
  <c r="G27" i="5"/>
  <c r="H27" i="5"/>
  <c r="I27" i="5"/>
  <c r="J27" i="5"/>
  <c r="K27" i="5"/>
  <c r="L27" i="5"/>
  <c r="C28" i="5"/>
  <c r="D28" i="5"/>
  <c r="E28" i="5"/>
  <c r="F28" i="5"/>
  <c r="G28" i="5"/>
  <c r="H28" i="5"/>
  <c r="I28" i="5"/>
  <c r="J28" i="5"/>
  <c r="K28" i="5"/>
  <c r="L28" i="5"/>
  <c r="C29" i="5"/>
  <c r="D29" i="5"/>
  <c r="E29" i="5"/>
  <c r="F29" i="5"/>
  <c r="G29" i="5"/>
  <c r="H29" i="5"/>
  <c r="I29" i="5"/>
  <c r="J29" i="5"/>
  <c r="K29" i="5"/>
  <c r="L29" i="5"/>
  <c r="C30" i="5"/>
  <c r="D30" i="5"/>
  <c r="E30" i="5"/>
  <c r="F30" i="5"/>
  <c r="G30" i="5"/>
  <c r="H30" i="5"/>
  <c r="I30" i="5"/>
  <c r="J30" i="5"/>
  <c r="K30" i="5"/>
  <c r="L30" i="5"/>
  <c r="O4" i="5"/>
  <c r="P4" i="5"/>
  <c r="Q4" i="5"/>
  <c r="R4" i="5"/>
  <c r="S4" i="5"/>
  <c r="T4" i="5"/>
  <c r="U4" i="5"/>
  <c r="V4" i="5"/>
  <c r="W4" i="5"/>
  <c r="X4" i="5"/>
  <c r="O5" i="5"/>
  <c r="P5" i="5"/>
  <c r="Q5" i="5"/>
  <c r="R5" i="5"/>
  <c r="S5" i="5"/>
  <c r="T5" i="5"/>
  <c r="U5" i="5"/>
  <c r="V5" i="5"/>
  <c r="W5" i="5"/>
  <c r="X5" i="5"/>
  <c r="O6" i="5"/>
  <c r="P6" i="5"/>
  <c r="Q6" i="5"/>
  <c r="R6" i="5"/>
  <c r="S6" i="5"/>
  <c r="T6" i="5"/>
  <c r="U6" i="5"/>
  <c r="V6" i="5"/>
  <c r="W6" i="5"/>
  <c r="X6" i="5"/>
  <c r="O7" i="5"/>
  <c r="P7" i="5"/>
  <c r="Q7" i="5"/>
  <c r="R7" i="5"/>
  <c r="S7" i="5"/>
  <c r="T7" i="5"/>
  <c r="U7" i="5"/>
  <c r="V7" i="5"/>
  <c r="W7" i="5"/>
  <c r="X7" i="5"/>
  <c r="O8" i="5"/>
  <c r="P8" i="5"/>
  <c r="Q8" i="5"/>
  <c r="R8" i="5"/>
  <c r="S8" i="5"/>
  <c r="T8" i="5"/>
  <c r="U8" i="5"/>
  <c r="V8" i="5"/>
  <c r="W8" i="5"/>
  <c r="X8" i="5"/>
  <c r="O9" i="5"/>
  <c r="P9" i="5"/>
  <c r="Q9" i="5"/>
  <c r="R9" i="5"/>
  <c r="S9" i="5"/>
  <c r="T9" i="5"/>
  <c r="U9" i="5"/>
  <c r="V9" i="5"/>
  <c r="W9" i="5"/>
  <c r="X9" i="5"/>
  <c r="O10" i="5"/>
  <c r="P10" i="5"/>
  <c r="Q10" i="5"/>
  <c r="R10" i="5"/>
  <c r="S10" i="5"/>
  <c r="T10" i="5"/>
  <c r="U10" i="5"/>
  <c r="V10" i="5"/>
  <c r="W10" i="5"/>
  <c r="X10" i="5"/>
  <c r="O11" i="5"/>
  <c r="P11" i="5"/>
  <c r="Q11" i="5"/>
  <c r="R11" i="5"/>
  <c r="S11" i="5"/>
  <c r="T11" i="5"/>
  <c r="U11" i="5"/>
  <c r="V11" i="5"/>
  <c r="W11" i="5"/>
  <c r="X11" i="5"/>
  <c r="O12" i="5"/>
  <c r="P12" i="5"/>
  <c r="Q12" i="5"/>
  <c r="R12" i="5"/>
  <c r="S12" i="5"/>
  <c r="T12" i="5"/>
  <c r="U12" i="5"/>
  <c r="V12" i="5"/>
  <c r="W12" i="5"/>
  <c r="X12" i="5"/>
  <c r="O13" i="5"/>
  <c r="P13" i="5"/>
  <c r="Q13" i="5"/>
  <c r="R13" i="5"/>
  <c r="S13" i="5"/>
  <c r="T13" i="5"/>
  <c r="U13" i="5"/>
  <c r="V13" i="5"/>
  <c r="W13" i="5"/>
  <c r="X13" i="5"/>
  <c r="O14" i="5"/>
  <c r="P14" i="5"/>
  <c r="Q14" i="5"/>
  <c r="R14" i="5"/>
  <c r="S14" i="5"/>
  <c r="T14" i="5"/>
  <c r="U14" i="5"/>
  <c r="V14" i="5"/>
  <c r="W14" i="5"/>
  <c r="X14" i="5"/>
  <c r="O15" i="5"/>
  <c r="P15" i="5"/>
  <c r="Q15" i="5"/>
  <c r="R15" i="5"/>
  <c r="S15" i="5"/>
  <c r="T15" i="5"/>
  <c r="U15" i="5"/>
  <c r="V15" i="5"/>
  <c r="W15" i="5"/>
  <c r="X15" i="5"/>
  <c r="O16" i="5"/>
  <c r="P16" i="5"/>
  <c r="Q16" i="5"/>
  <c r="R16" i="5"/>
  <c r="S16" i="5"/>
  <c r="T16" i="5"/>
  <c r="U16" i="5"/>
  <c r="V16" i="5"/>
  <c r="W16" i="5"/>
  <c r="X16" i="5"/>
  <c r="O17" i="5"/>
  <c r="P17" i="5"/>
  <c r="Q17" i="5"/>
  <c r="R17" i="5"/>
  <c r="S17" i="5"/>
  <c r="T17" i="5"/>
  <c r="U17" i="5"/>
  <c r="V17" i="5"/>
  <c r="W17" i="5"/>
  <c r="X17" i="5"/>
  <c r="O18" i="5"/>
  <c r="P18" i="5"/>
  <c r="Q18" i="5"/>
  <c r="R18" i="5"/>
  <c r="S18" i="5"/>
  <c r="T18" i="5"/>
  <c r="U18" i="5"/>
  <c r="V18" i="5"/>
  <c r="W18" i="5"/>
  <c r="X18" i="5"/>
  <c r="O19" i="5"/>
  <c r="P19" i="5"/>
  <c r="Q19" i="5"/>
  <c r="R19" i="5"/>
  <c r="S19" i="5"/>
  <c r="T19" i="5"/>
  <c r="U19" i="5"/>
  <c r="V19" i="5"/>
  <c r="W19" i="5"/>
  <c r="X19" i="5"/>
  <c r="O20" i="5"/>
  <c r="P20" i="5"/>
  <c r="Q20" i="5"/>
  <c r="R20" i="5"/>
  <c r="S20" i="5"/>
  <c r="T20" i="5"/>
  <c r="U20" i="5"/>
  <c r="V20" i="5"/>
  <c r="W20" i="5"/>
  <c r="X20" i="5"/>
  <c r="O21" i="5"/>
  <c r="P21" i="5"/>
  <c r="Q21" i="5"/>
  <c r="R21" i="5"/>
  <c r="S21" i="5"/>
  <c r="T21" i="5"/>
  <c r="U21" i="5"/>
  <c r="V21" i="5"/>
  <c r="W21" i="5"/>
  <c r="X21" i="5"/>
  <c r="O22" i="5"/>
  <c r="P22" i="5"/>
  <c r="Q22" i="5"/>
  <c r="R22" i="5"/>
  <c r="S22" i="5"/>
  <c r="T22" i="5"/>
  <c r="U22" i="5"/>
  <c r="V22" i="5"/>
  <c r="W22" i="5"/>
  <c r="X22" i="5"/>
  <c r="O23" i="5"/>
  <c r="P23" i="5"/>
  <c r="Q23" i="5"/>
  <c r="R23" i="5"/>
  <c r="S23" i="5"/>
  <c r="T23" i="5"/>
  <c r="U23" i="5"/>
  <c r="V23" i="5"/>
  <c r="W23" i="5"/>
  <c r="X23" i="5"/>
  <c r="O24" i="5"/>
  <c r="P24" i="5"/>
  <c r="Q24" i="5"/>
  <c r="R24" i="5"/>
  <c r="S24" i="5"/>
  <c r="T24" i="5"/>
  <c r="U24" i="5"/>
  <c r="V24" i="5"/>
  <c r="W24" i="5"/>
  <c r="X24" i="5"/>
  <c r="O25" i="5"/>
  <c r="P25" i="5"/>
  <c r="Q25" i="5"/>
  <c r="R25" i="5"/>
  <c r="S25" i="5"/>
  <c r="T25" i="5"/>
  <c r="U25" i="5"/>
  <c r="V25" i="5"/>
  <c r="W25" i="5"/>
  <c r="X25" i="5"/>
  <c r="O26" i="5"/>
  <c r="P26" i="5"/>
  <c r="Q26" i="5"/>
  <c r="R26" i="5"/>
  <c r="S26" i="5"/>
  <c r="T26" i="5"/>
  <c r="U26" i="5"/>
  <c r="V26" i="5"/>
  <c r="W26" i="5"/>
  <c r="X26" i="5"/>
  <c r="O27" i="5"/>
  <c r="P27" i="5"/>
  <c r="Q27" i="5"/>
  <c r="R27" i="5"/>
  <c r="S27" i="5"/>
  <c r="T27" i="5"/>
  <c r="U27" i="5"/>
  <c r="V27" i="5"/>
  <c r="W27" i="5"/>
  <c r="X27" i="5"/>
  <c r="O28" i="5"/>
  <c r="P28" i="5"/>
  <c r="Q28" i="5"/>
  <c r="R28" i="5"/>
  <c r="S28" i="5"/>
  <c r="T28" i="5"/>
  <c r="U28" i="5"/>
  <c r="V28" i="5"/>
  <c r="W28" i="5"/>
  <c r="X28" i="5"/>
  <c r="O29" i="5"/>
  <c r="P29" i="5"/>
  <c r="Q29" i="5"/>
  <c r="R29" i="5"/>
  <c r="S29" i="5"/>
  <c r="T29" i="5"/>
  <c r="U29" i="5"/>
  <c r="V29" i="5"/>
  <c r="W29" i="5"/>
  <c r="X29" i="5"/>
  <c r="O30" i="5"/>
  <c r="P30" i="5"/>
  <c r="Q30" i="5"/>
  <c r="R30" i="5"/>
  <c r="S30" i="5"/>
  <c r="T30" i="5"/>
  <c r="U30" i="5"/>
  <c r="V30" i="5"/>
  <c r="W30" i="5"/>
  <c r="X30" i="5"/>
  <c r="AA4" i="5"/>
  <c r="AB4" i="5"/>
  <c r="AC4" i="5"/>
  <c r="AD4" i="5"/>
  <c r="AE4" i="5"/>
  <c r="AF4" i="5"/>
  <c r="AG4" i="5"/>
  <c r="AH4" i="5"/>
  <c r="AI4" i="5"/>
  <c r="AJ4" i="5"/>
  <c r="AA5" i="5"/>
  <c r="AB5" i="5"/>
  <c r="AC5" i="5"/>
  <c r="AD5" i="5"/>
  <c r="AE5" i="5"/>
  <c r="AF5" i="5"/>
  <c r="AG5" i="5"/>
  <c r="AH5" i="5"/>
  <c r="AI5" i="5"/>
  <c r="AJ5" i="5"/>
  <c r="AA6" i="5"/>
  <c r="AB6" i="5"/>
  <c r="AC6" i="5"/>
  <c r="AD6" i="5"/>
  <c r="AE6" i="5"/>
  <c r="AF6" i="5"/>
  <c r="AG6" i="5"/>
  <c r="AH6" i="5"/>
  <c r="AI6" i="5"/>
  <c r="AJ6" i="5"/>
  <c r="AA7" i="5"/>
  <c r="AB7" i="5"/>
  <c r="AC7" i="5"/>
  <c r="AD7" i="5"/>
  <c r="AE7" i="5"/>
  <c r="AF7" i="5"/>
  <c r="AG7" i="5"/>
  <c r="AH7" i="5"/>
  <c r="AI7" i="5"/>
  <c r="AJ7" i="5"/>
  <c r="AA8" i="5"/>
  <c r="AB8" i="5"/>
  <c r="AC8" i="5"/>
  <c r="AD8" i="5"/>
  <c r="AE8" i="5"/>
  <c r="AF8" i="5"/>
  <c r="AG8" i="5"/>
  <c r="AH8" i="5"/>
  <c r="AI8" i="5"/>
  <c r="AJ8" i="5"/>
  <c r="AA9" i="5"/>
  <c r="AB9" i="5"/>
  <c r="AC9" i="5"/>
  <c r="AD9" i="5"/>
  <c r="AE9" i="5"/>
  <c r="AF9" i="5"/>
  <c r="AG9" i="5"/>
  <c r="AH9" i="5"/>
  <c r="AI9" i="5"/>
  <c r="AJ9" i="5"/>
  <c r="AA10" i="5"/>
  <c r="AB10" i="5"/>
  <c r="AC10" i="5"/>
  <c r="AD10" i="5"/>
  <c r="AE10" i="5"/>
  <c r="AF10" i="5"/>
  <c r="AG10" i="5"/>
  <c r="AH10" i="5"/>
  <c r="AI10" i="5"/>
  <c r="AJ10" i="5"/>
  <c r="AA11" i="5"/>
  <c r="AB11" i="5"/>
  <c r="AC11" i="5"/>
  <c r="AD11" i="5"/>
  <c r="AE11" i="5"/>
  <c r="AF11" i="5"/>
  <c r="AG11" i="5"/>
  <c r="AH11" i="5"/>
  <c r="AI11" i="5"/>
  <c r="AJ11" i="5"/>
  <c r="AA12" i="5"/>
  <c r="AB12" i="5"/>
  <c r="AC12" i="5"/>
  <c r="AD12" i="5"/>
  <c r="AE12" i="5"/>
  <c r="AF12" i="5"/>
  <c r="AG12" i="5"/>
  <c r="AH12" i="5"/>
  <c r="AI12" i="5"/>
  <c r="AJ12" i="5"/>
  <c r="AA13" i="5"/>
  <c r="AB13" i="5"/>
  <c r="AC13" i="5"/>
  <c r="AD13" i="5"/>
  <c r="AE13" i="5"/>
  <c r="AF13" i="5"/>
  <c r="AG13" i="5"/>
  <c r="AH13" i="5"/>
  <c r="AI13" i="5"/>
  <c r="AJ13" i="5"/>
  <c r="AA14" i="5"/>
  <c r="AB14" i="5"/>
  <c r="AC14" i="5"/>
  <c r="AD14" i="5"/>
  <c r="AE14" i="5"/>
  <c r="AF14" i="5"/>
  <c r="AG14" i="5"/>
  <c r="AH14" i="5"/>
  <c r="AI14" i="5"/>
  <c r="AJ14" i="5"/>
  <c r="AA15" i="5"/>
  <c r="AB15" i="5"/>
  <c r="AC15" i="5"/>
  <c r="AD15" i="5"/>
  <c r="AE15" i="5"/>
  <c r="AF15" i="5"/>
  <c r="AG15" i="5"/>
  <c r="AH15" i="5"/>
  <c r="AI15" i="5"/>
  <c r="AJ15" i="5"/>
  <c r="AA16" i="5"/>
  <c r="AB16" i="5"/>
  <c r="AC16" i="5"/>
  <c r="AD16" i="5"/>
  <c r="AE16" i="5"/>
  <c r="AF16" i="5"/>
  <c r="AG16" i="5"/>
  <c r="AH16" i="5"/>
  <c r="AI16" i="5"/>
  <c r="AJ16" i="5"/>
  <c r="AA17" i="5"/>
  <c r="AB17" i="5"/>
  <c r="AC17" i="5"/>
  <c r="AD17" i="5"/>
  <c r="AE17" i="5"/>
  <c r="AF17" i="5"/>
  <c r="AG17" i="5"/>
  <c r="AH17" i="5"/>
  <c r="AI17" i="5"/>
  <c r="AJ17" i="5"/>
  <c r="AA18" i="5"/>
  <c r="AB18" i="5"/>
  <c r="AC18" i="5"/>
  <c r="AD18" i="5"/>
  <c r="AE18" i="5"/>
  <c r="AF18" i="5"/>
  <c r="AG18" i="5"/>
  <c r="AH18" i="5"/>
  <c r="AI18" i="5"/>
  <c r="AJ18" i="5"/>
  <c r="AA19" i="5"/>
  <c r="AB19" i="5"/>
  <c r="AC19" i="5"/>
  <c r="AD19" i="5"/>
  <c r="AE19" i="5"/>
  <c r="AF19" i="5"/>
  <c r="AG19" i="5"/>
  <c r="AH19" i="5"/>
  <c r="AI19" i="5"/>
  <c r="AJ19" i="5"/>
  <c r="AA20" i="5"/>
  <c r="AB20" i="5"/>
  <c r="AC20" i="5"/>
  <c r="AD20" i="5"/>
  <c r="AE20" i="5"/>
  <c r="AF20" i="5"/>
  <c r="AG20" i="5"/>
  <c r="AH20" i="5"/>
  <c r="AI20" i="5"/>
  <c r="AJ20" i="5"/>
  <c r="AA21" i="5"/>
  <c r="AB21" i="5"/>
  <c r="AC21" i="5"/>
  <c r="AD21" i="5"/>
  <c r="AE21" i="5"/>
  <c r="AF21" i="5"/>
  <c r="AG21" i="5"/>
  <c r="AH21" i="5"/>
  <c r="AI21" i="5"/>
  <c r="AJ21" i="5"/>
  <c r="AA22" i="5"/>
  <c r="AB22" i="5"/>
  <c r="AC22" i="5"/>
  <c r="AD22" i="5"/>
  <c r="AE22" i="5"/>
  <c r="AF22" i="5"/>
  <c r="AG22" i="5"/>
  <c r="AH22" i="5"/>
  <c r="AI22" i="5"/>
  <c r="AJ22" i="5"/>
  <c r="AA23" i="5"/>
  <c r="AB23" i="5"/>
  <c r="AC23" i="5"/>
  <c r="AD23" i="5"/>
  <c r="AE23" i="5"/>
  <c r="AF23" i="5"/>
  <c r="AG23" i="5"/>
  <c r="AH23" i="5"/>
  <c r="AI23" i="5"/>
  <c r="AJ23" i="5"/>
  <c r="AA24" i="5"/>
  <c r="AB24" i="5"/>
  <c r="AC24" i="5"/>
  <c r="AD24" i="5"/>
  <c r="AE24" i="5"/>
  <c r="AF24" i="5"/>
  <c r="AG24" i="5"/>
  <c r="AH24" i="5"/>
  <c r="AI24" i="5"/>
  <c r="AJ24" i="5"/>
  <c r="AA25" i="5"/>
  <c r="AB25" i="5"/>
  <c r="AC25" i="5"/>
  <c r="AD25" i="5"/>
  <c r="AE25" i="5"/>
  <c r="AF25" i="5"/>
  <c r="AG25" i="5"/>
  <c r="AH25" i="5"/>
  <c r="AI25" i="5"/>
  <c r="AJ25" i="5"/>
  <c r="AA26" i="5"/>
  <c r="AB26" i="5"/>
  <c r="AC26" i="5"/>
  <c r="AD26" i="5"/>
  <c r="AE26" i="5"/>
  <c r="AF26" i="5"/>
  <c r="AG26" i="5"/>
  <c r="AH26" i="5"/>
  <c r="AI26" i="5"/>
  <c r="AJ26" i="5"/>
  <c r="AA27" i="5"/>
  <c r="AB27" i="5"/>
  <c r="AC27" i="5"/>
  <c r="AD27" i="5"/>
  <c r="AE27" i="5"/>
  <c r="AF27" i="5"/>
  <c r="AG27" i="5"/>
  <c r="AH27" i="5"/>
  <c r="AI27" i="5"/>
  <c r="AJ27" i="5"/>
  <c r="AA28" i="5"/>
  <c r="AB28" i="5"/>
  <c r="AC28" i="5"/>
  <c r="AD28" i="5"/>
  <c r="AE28" i="5"/>
  <c r="AF28" i="5"/>
  <c r="AG28" i="5"/>
  <c r="AH28" i="5"/>
  <c r="AI28" i="5"/>
  <c r="AJ28" i="5"/>
  <c r="AA29" i="5"/>
  <c r="AB29" i="5"/>
  <c r="AC29" i="5"/>
  <c r="AD29" i="5"/>
  <c r="AE29" i="5"/>
  <c r="AF29" i="5"/>
  <c r="AG29" i="5"/>
  <c r="AH29" i="5"/>
  <c r="AI29" i="5"/>
  <c r="AJ29" i="5"/>
  <c r="AA30" i="5"/>
  <c r="AB30" i="5"/>
  <c r="AC30" i="5"/>
  <c r="AD30" i="5"/>
  <c r="AE30" i="5"/>
  <c r="AF30" i="5"/>
  <c r="AG30" i="5"/>
  <c r="AH30" i="5"/>
  <c r="AI30" i="5"/>
  <c r="AJ30" i="5"/>
  <c r="AJ3" i="5"/>
  <c r="AI3" i="5"/>
  <c r="AH3" i="5"/>
  <c r="AG3" i="5"/>
  <c r="AF3" i="5"/>
  <c r="AE3" i="5"/>
  <c r="AD3" i="5"/>
  <c r="AC3" i="5"/>
  <c r="AB3" i="5"/>
  <c r="AA3" i="5"/>
  <c r="Z3" i="5"/>
  <c r="X3" i="5"/>
  <c r="W3" i="5"/>
  <c r="V3" i="5"/>
  <c r="U3" i="5"/>
  <c r="T3" i="5"/>
  <c r="S3" i="5"/>
  <c r="R3" i="5"/>
  <c r="Q3" i="5"/>
  <c r="P3" i="5"/>
  <c r="O3" i="5"/>
  <c r="N3" i="5"/>
  <c r="L3" i="5"/>
  <c r="K3" i="5"/>
  <c r="J3" i="5"/>
  <c r="I3" i="5"/>
  <c r="H3" i="5"/>
  <c r="G3" i="5"/>
  <c r="F3" i="5"/>
  <c r="E3" i="5"/>
  <c r="D3" i="5"/>
  <c r="C3" i="5"/>
  <c r="B3" i="5"/>
  <c r="E110" i="1" l="1"/>
  <c r="N35" i="5"/>
  <c r="R113" i="3"/>
  <c r="S113" i="3" s="1"/>
  <c r="T113" i="3"/>
  <c r="U113" i="3" s="1"/>
  <c r="S114" i="3"/>
  <c r="T114" i="3"/>
  <c r="U114" i="3" s="1"/>
  <c r="R115" i="3"/>
  <c r="S115" i="3" s="1"/>
  <c r="T115" i="3"/>
  <c r="U115" i="3" s="1"/>
  <c r="R116" i="3"/>
  <c r="S116" i="3" s="1"/>
  <c r="T116" i="3"/>
  <c r="U116" i="3" s="1"/>
  <c r="R117" i="3"/>
  <c r="S117" i="3" s="1"/>
  <c r="T117" i="3"/>
  <c r="U117" i="3" s="1"/>
  <c r="R118" i="3"/>
  <c r="S118" i="3" s="1"/>
  <c r="T118" i="3"/>
  <c r="U118" i="3" s="1"/>
  <c r="R119" i="3"/>
  <c r="S119" i="3" s="1"/>
  <c r="T119" i="3"/>
  <c r="U119" i="3" s="1"/>
  <c r="R120" i="3"/>
  <c r="S120" i="3" s="1"/>
  <c r="T120" i="3"/>
  <c r="U120" i="3" s="1"/>
  <c r="R121" i="3"/>
  <c r="S121" i="3" s="1"/>
  <c r="T121" i="3"/>
  <c r="U121" i="3" s="1"/>
  <c r="R122" i="3"/>
  <c r="S122" i="3" s="1"/>
  <c r="T122" i="3"/>
  <c r="U122" i="3" s="1"/>
  <c r="R123" i="3"/>
  <c r="S123" i="3" s="1"/>
  <c r="T123" i="3"/>
  <c r="U123" i="3" s="1"/>
  <c r="R124" i="3"/>
  <c r="S124" i="3" s="1"/>
  <c r="T124" i="3"/>
  <c r="U124" i="3" s="1"/>
  <c r="R125" i="3"/>
  <c r="S125" i="3" s="1"/>
  <c r="T125" i="3"/>
  <c r="U125" i="3" s="1"/>
  <c r="S126" i="3"/>
  <c r="U126" i="3"/>
  <c r="S127" i="3"/>
  <c r="S132" i="3"/>
  <c r="T132" i="3"/>
  <c r="U132" i="3" s="1"/>
  <c r="R133" i="3"/>
  <c r="S133" i="3" s="1"/>
  <c r="T133" i="3"/>
  <c r="U133" i="3" s="1"/>
  <c r="R134" i="3"/>
  <c r="S134" i="3" s="1"/>
  <c r="T134" i="3"/>
  <c r="U134" i="3" s="1"/>
  <c r="R135" i="3"/>
  <c r="S135" i="3" s="1"/>
  <c r="T135" i="3"/>
  <c r="U135" i="3" s="1"/>
  <c r="R136" i="3"/>
  <c r="S136" i="3" s="1"/>
  <c r="T136" i="3"/>
  <c r="U136" i="3" s="1"/>
  <c r="D94" i="1" l="1"/>
  <c r="D93" i="1"/>
  <c r="C94" i="1" l="1"/>
  <c r="C93" i="1"/>
  <c r="E192" i="3" l="1"/>
  <c r="E191" i="3"/>
  <c r="E190" i="3"/>
  <c r="E189" i="3"/>
  <c r="E188" i="3"/>
  <c r="E187" i="3"/>
  <c r="E186" i="3"/>
  <c r="E185" i="3"/>
  <c r="E184" i="3"/>
  <c r="E183" i="3"/>
  <c r="E182" i="3"/>
  <c r="E181" i="3"/>
  <c r="E178" i="3"/>
  <c r="E177" i="3"/>
  <c r="E176" i="3"/>
  <c r="E175" i="3"/>
  <c r="E174" i="3"/>
  <c r="E173" i="3"/>
  <c r="D192" i="3"/>
  <c r="D191" i="3"/>
  <c r="D190" i="3"/>
  <c r="D189" i="3"/>
  <c r="D188" i="3"/>
  <c r="D187" i="3"/>
  <c r="D186" i="3"/>
  <c r="D185" i="3"/>
  <c r="D184" i="3"/>
  <c r="D183" i="3"/>
  <c r="D182" i="3"/>
  <c r="D181" i="3"/>
  <c r="D178" i="3"/>
  <c r="D177" i="3"/>
  <c r="D176" i="3"/>
  <c r="D175" i="3"/>
  <c r="D174" i="3"/>
  <c r="D173" i="3"/>
  <c r="C192" i="3"/>
  <c r="C191" i="3"/>
  <c r="C190" i="3"/>
  <c r="C189" i="3"/>
  <c r="C188" i="3"/>
  <c r="C187" i="3"/>
  <c r="C186" i="3"/>
  <c r="C185" i="3"/>
  <c r="C184" i="3"/>
  <c r="C183" i="3"/>
  <c r="C182" i="3"/>
  <c r="C181" i="3"/>
  <c r="C178" i="3"/>
  <c r="C177" i="3"/>
  <c r="C176" i="3"/>
  <c r="C175" i="3"/>
  <c r="C174" i="3"/>
  <c r="C173" i="3"/>
  <c r="E171" i="3"/>
  <c r="E170" i="3"/>
  <c r="E169" i="3"/>
  <c r="E168" i="3"/>
  <c r="E167" i="3"/>
  <c r="E166" i="3"/>
  <c r="E165" i="3"/>
  <c r="E163" i="3"/>
  <c r="E161" i="3"/>
  <c r="E160" i="3"/>
  <c r="E157" i="3"/>
  <c r="E156" i="3"/>
  <c r="E155" i="3"/>
  <c r="E154" i="3"/>
  <c r="E153" i="3"/>
  <c r="E152" i="3"/>
  <c r="D171" i="3"/>
  <c r="D170" i="3"/>
  <c r="D169" i="3"/>
  <c r="D168" i="3"/>
  <c r="D167" i="3"/>
  <c r="D166" i="3"/>
  <c r="D165" i="3"/>
  <c r="D163" i="3"/>
  <c r="D161" i="3"/>
  <c r="D160" i="3"/>
  <c r="D157" i="3"/>
  <c r="D156" i="3"/>
  <c r="D155" i="3"/>
  <c r="D154" i="3"/>
  <c r="D153" i="3"/>
  <c r="D152" i="3"/>
  <c r="C171" i="3"/>
  <c r="C170" i="3"/>
  <c r="C169" i="3"/>
  <c r="C168" i="3"/>
  <c r="C167" i="3"/>
  <c r="C166" i="3"/>
  <c r="C165" i="3"/>
  <c r="C163" i="3"/>
  <c r="C161" i="3"/>
  <c r="C160" i="3"/>
  <c r="C157" i="3"/>
  <c r="C156" i="3"/>
  <c r="C155" i="3"/>
  <c r="C154" i="3"/>
  <c r="C153" i="3"/>
  <c r="C152" i="3"/>
  <c r="H153" i="3" l="1"/>
  <c r="I153" i="3"/>
  <c r="H155" i="3"/>
  <c r="I155" i="3"/>
  <c r="H157" i="3"/>
  <c r="H161" i="3"/>
  <c r="H165" i="3"/>
  <c r="H167" i="3"/>
  <c r="H169" i="3"/>
  <c r="H171" i="3"/>
  <c r="I152" i="3"/>
  <c r="H152" i="3"/>
  <c r="H175" i="3"/>
  <c r="T137" i="3"/>
  <c r="T138" i="3"/>
  <c r="T139" i="3"/>
  <c r="U139" i="3" s="1"/>
  <c r="T140" i="3"/>
  <c r="U140" i="3" s="1"/>
  <c r="T141" i="3"/>
  <c r="T142" i="3"/>
  <c r="T143" i="3"/>
  <c r="T144" i="3"/>
  <c r="T145" i="3"/>
  <c r="T146" i="3"/>
  <c r="H187" i="3" s="1"/>
  <c r="T147" i="3"/>
  <c r="T148" i="3"/>
  <c r="T149" i="3"/>
  <c r="T150" i="3"/>
  <c r="H191" i="3" s="1"/>
  <c r="T151" i="3"/>
  <c r="T152" i="3"/>
  <c r="U152" i="3" s="1"/>
  <c r="T153" i="3"/>
  <c r="U153" i="3" s="1"/>
  <c r="U154" i="3"/>
  <c r="R137" i="3"/>
  <c r="R138" i="3"/>
  <c r="R139" i="3"/>
  <c r="S139" i="3" s="1"/>
  <c r="R140" i="3"/>
  <c r="S140" i="3" s="1"/>
  <c r="R141" i="3"/>
  <c r="R142" i="3"/>
  <c r="R143" i="3"/>
  <c r="R144" i="3"/>
  <c r="R145" i="3"/>
  <c r="R146" i="3"/>
  <c r="R147" i="3"/>
  <c r="R148" i="3"/>
  <c r="R149" i="3"/>
  <c r="R150" i="3"/>
  <c r="R151" i="3"/>
  <c r="R152" i="3"/>
  <c r="S152" i="3" s="1"/>
  <c r="R153" i="3"/>
  <c r="S153" i="3" s="1"/>
  <c r="S154" i="3"/>
  <c r="F173" i="3"/>
  <c r="B28" i="1"/>
  <c r="E2" i="3"/>
  <c r="H29" i="1"/>
  <c r="G29" i="1"/>
  <c r="E29" i="1"/>
  <c r="I150" i="3"/>
  <c r="I149" i="3"/>
  <c r="I148" i="3"/>
  <c r="I147" i="3"/>
  <c r="I146" i="3"/>
  <c r="I145" i="3"/>
  <c r="I144" i="3"/>
  <c r="I143" i="3"/>
  <c r="I142" i="3"/>
  <c r="I141" i="3"/>
  <c r="I140" i="3"/>
  <c r="I139" i="3"/>
  <c r="I136" i="3"/>
  <c r="I135" i="3"/>
  <c r="I134" i="3"/>
  <c r="I133" i="3"/>
  <c r="I132" i="3"/>
  <c r="I131" i="3"/>
  <c r="H150" i="3"/>
  <c r="H149" i="3"/>
  <c r="H148" i="3"/>
  <c r="H147" i="3"/>
  <c r="H146" i="3"/>
  <c r="H145" i="3"/>
  <c r="H144" i="3"/>
  <c r="H143" i="3"/>
  <c r="H142" i="3"/>
  <c r="H141" i="3"/>
  <c r="H140" i="3"/>
  <c r="H139" i="3"/>
  <c r="H136" i="3"/>
  <c r="H135" i="3"/>
  <c r="H134" i="3"/>
  <c r="H133" i="3"/>
  <c r="H132" i="3"/>
  <c r="H131" i="3"/>
  <c r="G150" i="3"/>
  <c r="G149" i="3"/>
  <c r="G148" i="3"/>
  <c r="G147" i="3"/>
  <c r="G146" i="3"/>
  <c r="G145" i="3"/>
  <c r="G144" i="3"/>
  <c r="G143" i="3"/>
  <c r="G142" i="3"/>
  <c r="G141" i="3"/>
  <c r="G140" i="3"/>
  <c r="G139" i="3"/>
  <c r="G136" i="3"/>
  <c r="G135" i="3"/>
  <c r="G134" i="3"/>
  <c r="G133" i="3"/>
  <c r="G132" i="3"/>
  <c r="G131" i="3"/>
  <c r="F150" i="3"/>
  <c r="F149" i="3"/>
  <c r="F148" i="3"/>
  <c r="F147" i="3"/>
  <c r="F146" i="3"/>
  <c r="F145" i="3"/>
  <c r="F144" i="3"/>
  <c r="F143" i="3"/>
  <c r="F142" i="3"/>
  <c r="F141" i="3"/>
  <c r="F140" i="3"/>
  <c r="F139" i="3"/>
  <c r="F136" i="3"/>
  <c r="F135" i="3"/>
  <c r="F134" i="3"/>
  <c r="F133" i="3"/>
  <c r="F132" i="3"/>
  <c r="F131" i="3"/>
  <c r="E150" i="3"/>
  <c r="E149" i="3"/>
  <c r="E148" i="3"/>
  <c r="E147" i="3"/>
  <c r="E146" i="3"/>
  <c r="E145" i="3"/>
  <c r="E144" i="3"/>
  <c r="E143" i="3"/>
  <c r="E142" i="3"/>
  <c r="E141" i="3"/>
  <c r="E140" i="3"/>
  <c r="E139" i="3"/>
  <c r="E136" i="3"/>
  <c r="E135" i="3"/>
  <c r="E134" i="3"/>
  <c r="E133" i="3"/>
  <c r="E132" i="3"/>
  <c r="E131" i="3"/>
  <c r="D150" i="3"/>
  <c r="D149" i="3"/>
  <c r="D148" i="3"/>
  <c r="D147" i="3"/>
  <c r="D146" i="3"/>
  <c r="D145" i="3"/>
  <c r="D144" i="3"/>
  <c r="D143" i="3"/>
  <c r="D142" i="3"/>
  <c r="D141" i="3"/>
  <c r="D140" i="3"/>
  <c r="D139" i="3"/>
  <c r="D136" i="3"/>
  <c r="D135" i="3"/>
  <c r="D134" i="3"/>
  <c r="D133" i="3"/>
  <c r="D132" i="3"/>
  <c r="D131" i="3"/>
  <c r="C150" i="3"/>
  <c r="C149" i="3"/>
  <c r="C148" i="3"/>
  <c r="C147" i="3"/>
  <c r="C146" i="3"/>
  <c r="C145" i="3"/>
  <c r="C144" i="3"/>
  <c r="C143" i="3"/>
  <c r="C142" i="3"/>
  <c r="C141" i="3"/>
  <c r="C140" i="3"/>
  <c r="C139" i="3"/>
  <c r="C136" i="3"/>
  <c r="C135" i="3"/>
  <c r="C134" i="3"/>
  <c r="C133" i="3"/>
  <c r="C132" i="3"/>
  <c r="C131" i="3"/>
  <c r="I129" i="3"/>
  <c r="I128" i="3"/>
  <c r="I127" i="3"/>
  <c r="I126" i="3"/>
  <c r="I125" i="3"/>
  <c r="I124" i="3"/>
  <c r="I123" i="3"/>
  <c r="I122" i="3"/>
  <c r="I121" i="3"/>
  <c r="I120" i="3"/>
  <c r="I119" i="3"/>
  <c r="I118" i="3"/>
  <c r="H129" i="3"/>
  <c r="H128" i="3"/>
  <c r="H127" i="3"/>
  <c r="H126" i="3"/>
  <c r="H125" i="3"/>
  <c r="H124" i="3"/>
  <c r="H123" i="3"/>
  <c r="H122" i="3"/>
  <c r="H121" i="3"/>
  <c r="H120" i="3"/>
  <c r="H119" i="3"/>
  <c r="H118" i="3"/>
  <c r="G129" i="3"/>
  <c r="G128" i="3"/>
  <c r="G127" i="3"/>
  <c r="G126" i="3"/>
  <c r="G125" i="3"/>
  <c r="G124" i="3"/>
  <c r="G123" i="3"/>
  <c r="G122" i="3"/>
  <c r="G121" i="3"/>
  <c r="G120" i="3"/>
  <c r="G119" i="3"/>
  <c r="G118" i="3"/>
  <c r="F129" i="3"/>
  <c r="F128" i="3"/>
  <c r="F127" i="3"/>
  <c r="F126" i="3"/>
  <c r="F125" i="3"/>
  <c r="F124" i="3"/>
  <c r="F123" i="3"/>
  <c r="F122" i="3"/>
  <c r="F121" i="3"/>
  <c r="F120" i="3"/>
  <c r="F119" i="3"/>
  <c r="F118" i="3"/>
  <c r="E129" i="3"/>
  <c r="E128" i="3"/>
  <c r="E127" i="3"/>
  <c r="E126" i="3"/>
  <c r="E125" i="3"/>
  <c r="E124" i="3"/>
  <c r="E123" i="3"/>
  <c r="E122" i="3"/>
  <c r="E121" i="3"/>
  <c r="E120" i="3"/>
  <c r="E119" i="3"/>
  <c r="E118" i="3"/>
  <c r="D129" i="3"/>
  <c r="D128" i="3"/>
  <c r="D127" i="3"/>
  <c r="D126" i="3"/>
  <c r="D125" i="3"/>
  <c r="D124" i="3"/>
  <c r="D123" i="3"/>
  <c r="D122" i="3"/>
  <c r="D121" i="3"/>
  <c r="D120" i="3"/>
  <c r="D119" i="3"/>
  <c r="D118" i="3"/>
  <c r="I115" i="3"/>
  <c r="I114" i="3"/>
  <c r="I113" i="3"/>
  <c r="I112" i="3"/>
  <c r="I111" i="3"/>
  <c r="I110" i="3"/>
  <c r="H115" i="3"/>
  <c r="H114" i="3"/>
  <c r="H113" i="3"/>
  <c r="H112" i="3"/>
  <c r="H111" i="3"/>
  <c r="H110" i="3"/>
  <c r="G115" i="3"/>
  <c r="G114" i="3"/>
  <c r="G113" i="3"/>
  <c r="G112" i="3"/>
  <c r="G111" i="3"/>
  <c r="G110" i="3"/>
  <c r="F115" i="3"/>
  <c r="F114" i="3"/>
  <c r="F113" i="3"/>
  <c r="F112" i="3"/>
  <c r="F111" i="3"/>
  <c r="F110" i="3"/>
  <c r="E115" i="3"/>
  <c r="E114" i="3"/>
  <c r="E113" i="3"/>
  <c r="E112" i="3"/>
  <c r="E111" i="3"/>
  <c r="E110" i="3"/>
  <c r="D115" i="3"/>
  <c r="D114" i="3"/>
  <c r="D113" i="3"/>
  <c r="D112" i="3"/>
  <c r="D111" i="3"/>
  <c r="D110" i="3"/>
  <c r="C129" i="3"/>
  <c r="C128" i="3"/>
  <c r="C127" i="3"/>
  <c r="C126" i="3"/>
  <c r="C125" i="3"/>
  <c r="C124" i="3"/>
  <c r="C123" i="3"/>
  <c r="C122" i="3"/>
  <c r="C121" i="3"/>
  <c r="C120" i="3"/>
  <c r="C119" i="3"/>
  <c r="C118" i="3"/>
  <c r="C115" i="3"/>
  <c r="C114" i="3"/>
  <c r="C113" i="3"/>
  <c r="C112" i="3"/>
  <c r="C111" i="3"/>
  <c r="C110" i="3"/>
  <c r="I108" i="3"/>
  <c r="I107" i="3"/>
  <c r="I106" i="3"/>
  <c r="I105" i="3"/>
  <c r="I104" i="3"/>
  <c r="I103" i="3"/>
  <c r="I102" i="3"/>
  <c r="I101" i="3"/>
  <c r="I100" i="3"/>
  <c r="I99" i="3"/>
  <c r="I98" i="3"/>
  <c r="I97" i="3"/>
  <c r="I94" i="3"/>
  <c r="I93" i="3"/>
  <c r="I92" i="3"/>
  <c r="I91" i="3"/>
  <c r="I90" i="3"/>
  <c r="I89" i="3"/>
  <c r="H108" i="3"/>
  <c r="H107" i="3"/>
  <c r="H106" i="3"/>
  <c r="H105" i="3"/>
  <c r="H104" i="3"/>
  <c r="H103" i="3"/>
  <c r="H102" i="3"/>
  <c r="H101" i="3"/>
  <c r="H100" i="3"/>
  <c r="H99" i="3"/>
  <c r="H98" i="3"/>
  <c r="H97" i="3"/>
  <c r="H94" i="3"/>
  <c r="H93" i="3"/>
  <c r="H92" i="3"/>
  <c r="H91" i="3"/>
  <c r="H90" i="3"/>
  <c r="H89" i="3"/>
  <c r="G108" i="3"/>
  <c r="G107" i="3"/>
  <c r="G106" i="3"/>
  <c r="G105" i="3"/>
  <c r="G104" i="3"/>
  <c r="G103" i="3"/>
  <c r="G102" i="3"/>
  <c r="G101" i="3"/>
  <c r="G100" i="3"/>
  <c r="G99" i="3"/>
  <c r="G98" i="3"/>
  <c r="G97" i="3"/>
  <c r="G94" i="3"/>
  <c r="G93" i="3"/>
  <c r="G92" i="3"/>
  <c r="G91" i="3"/>
  <c r="G90" i="3"/>
  <c r="G89" i="3"/>
  <c r="F108" i="3"/>
  <c r="F107" i="3"/>
  <c r="F106" i="3"/>
  <c r="F105" i="3"/>
  <c r="F104" i="3"/>
  <c r="F103" i="3"/>
  <c r="F102" i="3"/>
  <c r="F101" i="3"/>
  <c r="F100" i="3"/>
  <c r="F99" i="3"/>
  <c r="F98" i="3"/>
  <c r="F97" i="3"/>
  <c r="F94" i="3"/>
  <c r="F93" i="3"/>
  <c r="F92" i="3"/>
  <c r="F91" i="3"/>
  <c r="F90" i="3"/>
  <c r="F89" i="3"/>
  <c r="E108" i="3"/>
  <c r="E107" i="3"/>
  <c r="E106" i="3"/>
  <c r="E105" i="3"/>
  <c r="E104" i="3"/>
  <c r="E103" i="3"/>
  <c r="E102" i="3"/>
  <c r="E101" i="3"/>
  <c r="E100" i="3"/>
  <c r="E99" i="3"/>
  <c r="E98" i="3"/>
  <c r="E97" i="3"/>
  <c r="E94" i="3"/>
  <c r="E93" i="3"/>
  <c r="E92" i="3"/>
  <c r="E91" i="3"/>
  <c r="E90" i="3"/>
  <c r="E89" i="3"/>
  <c r="D108" i="3"/>
  <c r="D107" i="3"/>
  <c r="D106" i="3"/>
  <c r="D105" i="3"/>
  <c r="D104" i="3"/>
  <c r="D103" i="3"/>
  <c r="D102" i="3"/>
  <c r="D101" i="3"/>
  <c r="D100" i="3"/>
  <c r="D99" i="3"/>
  <c r="D98" i="3"/>
  <c r="D97" i="3"/>
  <c r="D94" i="3"/>
  <c r="D93" i="3"/>
  <c r="D92" i="3"/>
  <c r="D91" i="3"/>
  <c r="D90" i="3"/>
  <c r="D89" i="3"/>
  <c r="C108" i="3"/>
  <c r="C107" i="3"/>
  <c r="C106" i="3"/>
  <c r="C105" i="3"/>
  <c r="C104" i="3"/>
  <c r="C103" i="3"/>
  <c r="C102" i="3"/>
  <c r="C101" i="3"/>
  <c r="C100" i="3"/>
  <c r="C99" i="3"/>
  <c r="C98" i="3"/>
  <c r="C97" i="3"/>
  <c r="C94" i="3"/>
  <c r="C93" i="3"/>
  <c r="C92" i="3"/>
  <c r="C91" i="3"/>
  <c r="C90" i="3"/>
  <c r="C89" i="3"/>
  <c r="I87" i="3"/>
  <c r="I86" i="3"/>
  <c r="I85" i="3"/>
  <c r="I84" i="3"/>
  <c r="I83" i="3"/>
  <c r="I82" i="3"/>
  <c r="I81" i="3"/>
  <c r="I80" i="3"/>
  <c r="I79" i="3"/>
  <c r="I78" i="3"/>
  <c r="I77" i="3"/>
  <c r="I76" i="3"/>
  <c r="H87" i="3"/>
  <c r="H86" i="3"/>
  <c r="H85" i="3"/>
  <c r="H84" i="3"/>
  <c r="H83" i="3"/>
  <c r="H82" i="3"/>
  <c r="H81" i="3"/>
  <c r="H80" i="3"/>
  <c r="H79" i="3"/>
  <c r="H78" i="3"/>
  <c r="H77" i="3"/>
  <c r="H76" i="3"/>
  <c r="G87" i="3"/>
  <c r="G86" i="3"/>
  <c r="G85" i="3"/>
  <c r="G84" i="3"/>
  <c r="G83" i="3"/>
  <c r="G82" i="3"/>
  <c r="G81" i="3"/>
  <c r="G80" i="3"/>
  <c r="G79" i="3"/>
  <c r="G78" i="3"/>
  <c r="G77" i="3"/>
  <c r="G76" i="3"/>
  <c r="F87" i="3"/>
  <c r="F86" i="3"/>
  <c r="F85" i="3"/>
  <c r="F84" i="3"/>
  <c r="F83" i="3"/>
  <c r="F82" i="3"/>
  <c r="F81" i="3"/>
  <c r="F80" i="3"/>
  <c r="F79" i="3"/>
  <c r="F78" i="3"/>
  <c r="F77" i="3"/>
  <c r="F76" i="3"/>
  <c r="E87" i="3"/>
  <c r="E86" i="3"/>
  <c r="E85" i="3"/>
  <c r="E84" i="3"/>
  <c r="E83" i="3"/>
  <c r="E82" i="3"/>
  <c r="E81" i="3"/>
  <c r="E80" i="3"/>
  <c r="E79" i="3"/>
  <c r="E78" i="3"/>
  <c r="E77" i="3"/>
  <c r="E76" i="3"/>
  <c r="D87" i="3"/>
  <c r="D86" i="3"/>
  <c r="D85" i="3"/>
  <c r="D84" i="3"/>
  <c r="D83" i="3"/>
  <c r="D82" i="3"/>
  <c r="D81" i="3"/>
  <c r="D80" i="3"/>
  <c r="D79" i="3"/>
  <c r="D78" i="3"/>
  <c r="D77" i="3"/>
  <c r="D76" i="3"/>
  <c r="I73" i="3"/>
  <c r="I72" i="3"/>
  <c r="I71" i="3"/>
  <c r="I70" i="3"/>
  <c r="I69" i="3"/>
  <c r="I68" i="3"/>
  <c r="H73" i="3"/>
  <c r="H72" i="3"/>
  <c r="H71" i="3"/>
  <c r="H70" i="3"/>
  <c r="H69" i="3"/>
  <c r="H68" i="3"/>
  <c r="G73" i="3"/>
  <c r="G72" i="3"/>
  <c r="G71" i="3"/>
  <c r="G70" i="3"/>
  <c r="G69" i="3"/>
  <c r="G68" i="3"/>
  <c r="F73" i="3"/>
  <c r="F72" i="3"/>
  <c r="F71" i="3"/>
  <c r="F70" i="3"/>
  <c r="F69" i="3"/>
  <c r="F68" i="3"/>
  <c r="E73" i="3"/>
  <c r="E72" i="3"/>
  <c r="E71" i="3"/>
  <c r="E70" i="3"/>
  <c r="E69" i="3"/>
  <c r="E68" i="3"/>
  <c r="D73" i="3"/>
  <c r="D72" i="3"/>
  <c r="D71" i="3"/>
  <c r="D70" i="3"/>
  <c r="D69" i="3"/>
  <c r="D68" i="3"/>
  <c r="C87" i="3"/>
  <c r="C86" i="3"/>
  <c r="C85" i="3"/>
  <c r="C84" i="3"/>
  <c r="C83" i="3"/>
  <c r="C82" i="3"/>
  <c r="C81" i="3"/>
  <c r="C80" i="3"/>
  <c r="C79" i="3"/>
  <c r="C78" i="3"/>
  <c r="C77" i="3"/>
  <c r="C76" i="3"/>
  <c r="C73" i="3"/>
  <c r="C71" i="3"/>
  <c r="C72" i="3"/>
  <c r="C70" i="3"/>
  <c r="C69" i="3"/>
  <c r="C68" i="3"/>
  <c r="I66" i="3"/>
  <c r="I65" i="3"/>
  <c r="I64" i="3"/>
  <c r="I63" i="3"/>
  <c r="H66" i="3"/>
  <c r="H65" i="3"/>
  <c r="H64" i="3"/>
  <c r="H63" i="3"/>
  <c r="G66" i="3"/>
  <c r="G65" i="3"/>
  <c r="G64" i="3"/>
  <c r="G63" i="3"/>
  <c r="F66" i="3"/>
  <c r="F65" i="3"/>
  <c r="F64" i="3"/>
  <c r="F63" i="3"/>
  <c r="E66" i="3"/>
  <c r="E65" i="3"/>
  <c r="E64" i="3"/>
  <c r="E63" i="3"/>
  <c r="D66" i="3"/>
  <c r="D65" i="3"/>
  <c r="D64" i="3"/>
  <c r="D63" i="3"/>
  <c r="C66" i="3"/>
  <c r="C65" i="3"/>
  <c r="C64" i="3"/>
  <c r="C63" i="3"/>
  <c r="H9" i="1"/>
  <c r="B9" i="1"/>
  <c r="B8" i="1"/>
  <c r="Q77" i="9"/>
  <c r="Q76" i="9"/>
  <c r="Q75" i="9"/>
  <c r="Q74" i="9"/>
  <c r="Q73" i="9"/>
  <c r="Q72" i="9"/>
  <c r="Q71" i="9"/>
  <c r="Q70" i="9"/>
  <c r="Q69" i="9"/>
  <c r="Q68" i="9"/>
  <c r="Q67" i="9"/>
  <c r="Q66" i="9"/>
  <c r="Q65" i="9"/>
  <c r="B11" i="1"/>
  <c r="R4" i="9"/>
  <c r="B23" i="1"/>
  <c r="B22" i="1"/>
  <c r="B21" i="1"/>
  <c r="B20" i="1"/>
  <c r="B19" i="1"/>
  <c r="B18" i="1"/>
  <c r="B17" i="1"/>
  <c r="B16" i="1"/>
  <c r="B15" i="1"/>
  <c r="B14" i="1"/>
  <c r="B13" i="1"/>
  <c r="B12" i="1"/>
  <c r="E46" i="1" l="1"/>
  <c r="R65" i="9"/>
  <c r="E19" i="1"/>
  <c r="G173" i="3"/>
  <c r="J30" i="1" s="1"/>
  <c r="U150" i="3"/>
  <c r="I191" i="3" s="1"/>
  <c r="K48" i="1" s="1"/>
  <c r="U146" i="3"/>
  <c r="I187" i="3" s="1"/>
  <c r="S150" i="3"/>
  <c r="G191" i="3" s="1"/>
  <c r="J48" i="1" s="1"/>
  <c r="F191" i="3"/>
  <c r="S142" i="3"/>
  <c r="G183" i="3" s="1"/>
  <c r="J40" i="1" s="1"/>
  <c r="F183" i="3"/>
  <c r="G175" i="3"/>
  <c r="J32" i="1" s="1"/>
  <c r="F175" i="3"/>
  <c r="U145" i="3"/>
  <c r="I186" i="3" s="1"/>
  <c r="H186" i="3"/>
  <c r="U141" i="3"/>
  <c r="I182" i="3" s="1"/>
  <c r="H182" i="3"/>
  <c r="I174" i="3"/>
  <c r="K31" i="1" s="1"/>
  <c r="H174" i="3"/>
  <c r="S149" i="3"/>
  <c r="G190" i="3" s="1"/>
  <c r="J47" i="1" s="1"/>
  <c r="F190" i="3"/>
  <c r="S141" i="3"/>
  <c r="G182" i="3" s="1"/>
  <c r="J39" i="1" s="1"/>
  <c r="F182" i="3"/>
  <c r="S137" i="3"/>
  <c r="G178" i="3" s="1"/>
  <c r="J35" i="1" s="1"/>
  <c r="F178" i="3"/>
  <c r="U148" i="3"/>
  <c r="I189" i="3" s="1"/>
  <c r="K46" i="1" s="1"/>
  <c r="H189" i="3"/>
  <c r="U144" i="3"/>
  <c r="I185" i="3" s="1"/>
  <c r="K42" i="1" s="1"/>
  <c r="H185" i="3"/>
  <c r="I177" i="3"/>
  <c r="H177" i="3"/>
  <c r="S148" i="3"/>
  <c r="G189" i="3" s="1"/>
  <c r="J46" i="1" s="1"/>
  <c r="F189" i="3"/>
  <c r="S144" i="3"/>
  <c r="G185" i="3" s="1"/>
  <c r="J42" i="1" s="1"/>
  <c r="F185" i="3"/>
  <c r="G177" i="3"/>
  <c r="F177" i="3"/>
  <c r="I173" i="3"/>
  <c r="H173" i="3"/>
  <c r="U151" i="3"/>
  <c r="I192" i="3" s="1"/>
  <c r="K49" i="1" s="1"/>
  <c r="H192" i="3"/>
  <c r="U147" i="3"/>
  <c r="I188" i="3" s="1"/>
  <c r="K45" i="1" s="1"/>
  <c r="H188" i="3"/>
  <c r="U143" i="3"/>
  <c r="I184" i="3" s="1"/>
  <c r="K41" i="1" s="1"/>
  <c r="H184" i="3"/>
  <c r="I176" i="3"/>
  <c r="H176" i="3"/>
  <c r="I175" i="3"/>
  <c r="S146" i="3"/>
  <c r="G187" i="3" s="1"/>
  <c r="J44" i="1" s="1"/>
  <c r="F187" i="3"/>
  <c r="S138" i="3"/>
  <c r="G181" i="3" s="1"/>
  <c r="J38" i="1" s="1"/>
  <c r="F181" i="3"/>
  <c r="U149" i="3"/>
  <c r="I190" i="3" s="1"/>
  <c r="K47" i="1" s="1"/>
  <c r="H190" i="3"/>
  <c r="U137" i="3"/>
  <c r="I178" i="3" s="1"/>
  <c r="K35" i="1" s="1"/>
  <c r="H178" i="3"/>
  <c r="S145" i="3"/>
  <c r="G186" i="3" s="1"/>
  <c r="J43" i="1" s="1"/>
  <c r="F186" i="3"/>
  <c r="G174" i="3"/>
  <c r="J31" i="1" s="1"/>
  <c r="F174" i="3"/>
  <c r="S151" i="3"/>
  <c r="G192" i="3" s="1"/>
  <c r="J49" i="1" s="1"/>
  <c r="F192" i="3"/>
  <c r="S147" i="3"/>
  <c r="G188" i="3" s="1"/>
  <c r="J45" i="1" s="1"/>
  <c r="F188" i="3"/>
  <c r="S143" i="3"/>
  <c r="G184" i="3" s="1"/>
  <c r="J41" i="1" s="1"/>
  <c r="F184" i="3"/>
  <c r="G176" i="3"/>
  <c r="J33" i="1" s="1"/>
  <c r="F176" i="3"/>
  <c r="U142" i="3"/>
  <c r="I183" i="3" s="1"/>
  <c r="K40" i="1" s="1"/>
  <c r="H183" i="3"/>
  <c r="U138" i="3"/>
  <c r="I181" i="3" s="1"/>
  <c r="H181" i="3"/>
  <c r="I167" i="3"/>
  <c r="I165" i="3"/>
  <c r="G171" i="3"/>
  <c r="F171" i="3"/>
  <c r="G166" i="3"/>
  <c r="F166" i="3"/>
  <c r="I163" i="3"/>
  <c r="H163" i="3"/>
  <c r="G161" i="3"/>
  <c r="F161" i="3"/>
  <c r="G154" i="3"/>
  <c r="F154" i="3"/>
  <c r="G169" i="3"/>
  <c r="F169" i="3"/>
  <c r="I171" i="3"/>
  <c r="G170" i="3"/>
  <c r="F170" i="3"/>
  <c r="I168" i="3"/>
  <c r="H168" i="3"/>
  <c r="G167" i="3"/>
  <c r="F167" i="3"/>
  <c r="I161" i="3"/>
  <c r="G160" i="3"/>
  <c r="F160" i="3"/>
  <c r="I156" i="3"/>
  <c r="H156" i="3"/>
  <c r="G155" i="3"/>
  <c r="F155" i="3"/>
  <c r="G152" i="3"/>
  <c r="F152" i="3"/>
  <c r="I170" i="3"/>
  <c r="H170" i="3"/>
  <c r="G163" i="3"/>
  <c r="F163" i="3"/>
  <c r="I160" i="3"/>
  <c r="H160" i="3"/>
  <c r="G157" i="3"/>
  <c r="F157" i="3"/>
  <c r="I169" i="3"/>
  <c r="G168" i="3"/>
  <c r="F168" i="3"/>
  <c r="I166" i="3"/>
  <c r="H166" i="3"/>
  <c r="G165" i="3"/>
  <c r="F165" i="3"/>
  <c r="I157" i="3"/>
  <c r="G156" i="3"/>
  <c r="F156" i="3"/>
  <c r="I154" i="3"/>
  <c r="H154" i="3"/>
  <c r="G153" i="3"/>
  <c r="F153" i="3"/>
  <c r="E39" i="1"/>
  <c r="E43" i="1"/>
  <c r="H41" i="1"/>
  <c r="H45" i="1"/>
  <c r="H49" i="1"/>
  <c r="G42" i="1"/>
  <c r="G46" i="1"/>
  <c r="K39" i="1"/>
  <c r="K43" i="1"/>
  <c r="E47" i="1"/>
  <c r="H39" i="1"/>
  <c r="G40" i="1"/>
  <c r="E41" i="1"/>
  <c r="H43" i="1"/>
  <c r="G44" i="1"/>
  <c r="E45" i="1"/>
  <c r="H47" i="1"/>
  <c r="G48" i="1"/>
  <c r="E49" i="1"/>
  <c r="H40" i="1"/>
  <c r="G41" i="1"/>
  <c r="E42" i="1"/>
  <c r="H44" i="1"/>
  <c r="G45" i="1"/>
  <c r="H48" i="1"/>
  <c r="G49" i="1"/>
  <c r="G39" i="1"/>
  <c r="E40" i="1"/>
  <c r="H42" i="1"/>
  <c r="G43" i="1"/>
  <c r="E44" i="1"/>
  <c r="K44" i="1"/>
  <c r="H46" i="1"/>
  <c r="G47" i="1"/>
  <c r="E48" i="1"/>
  <c r="H30" i="1"/>
  <c r="E32" i="1"/>
  <c r="K32" i="1"/>
  <c r="H34" i="1"/>
  <c r="G35" i="1"/>
  <c r="E36" i="1"/>
  <c r="K36" i="1"/>
  <c r="J37" i="1"/>
  <c r="H38" i="1"/>
  <c r="E31" i="1"/>
  <c r="G32" i="1"/>
  <c r="E33" i="1"/>
  <c r="K33" i="1"/>
  <c r="J34" i="1"/>
  <c r="H35" i="1"/>
  <c r="G36" i="1"/>
  <c r="E37" i="1"/>
  <c r="K37" i="1"/>
  <c r="H31" i="1"/>
  <c r="H32" i="1"/>
  <c r="G33" i="1"/>
  <c r="E34" i="1"/>
  <c r="K34" i="1"/>
  <c r="H36" i="1"/>
  <c r="G37" i="1"/>
  <c r="E38" i="1"/>
  <c r="K38" i="1"/>
  <c r="E30" i="1"/>
  <c r="H33" i="1"/>
  <c r="G34" i="1"/>
  <c r="E35" i="1"/>
  <c r="J36" i="1"/>
  <c r="H37" i="1"/>
  <c r="G38" i="1"/>
  <c r="G30" i="1"/>
  <c r="G31" i="1"/>
  <c r="K30" i="1"/>
  <c r="R77" i="9"/>
  <c r="R76" i="9"/>
  <c r="R75" i="9"/>
  <c r="R73" i="9"/>
  <c r="R74" i="9"/>
  <c r="R72" i="9"/>
  <c r="R71" i="9"/>
  <c r="R70" i="9"/>
  <c r="R68" i="9"/>
  <c r="R69" i="9"/>
  <c r="R67" i="9"/>
  <c r="R66" i="9"/>
  <c r="G23" i="1"/>
  <c r="G22" i="1"/>
  <c r="G21" i="1"/>
  <c r="G19" i="1"/>
  <c r="G20" i="1"/>
  <c r="G14" i="1"/>
  <c r="G18" i="1"/>
  <c r="G17" i="1"/>
  <c r="G16" i="1"/>
  <c r="G15" i="1"/>
  <c r="G13" i="1"/>
  <c r="G12" i="1"/>
  <c r="G11" i="1"/>
  <c r="E23" i="1"/>
  <c r="E22" i="1"/>
  <c r="E21" i="1"/>
  <c r="E20" i="1"/>
  <c r="E18" i="1"/>
  <c r="E17" i="1"/>
  <c r="E16" i="1"/>
  <c r="E15" i="1"/>
  <c r="E14" i="1"/>
  <c r="E13" i="1"/>
  <c r="E11" i="1"/>
  <c r="E12" i="1"/>
  <c r="D23" i="1"/>
  <c r="D22" i="1"/>
  <c r="D21" i="1"/>
  <c r="D20" i="1"/>
  <c r="D19" i="1"/>
  <c r="D17" i="1"/>
  <c r="D18" i="1"/>
  <c r="D14" i="1"/>
  <c r="D16" i="1"/>
  <c r="D15" i="1"/>
  <c r="D13" i="1"/>
  <c r="D12" i="1"/>
  <c r="D11" i="1"/>
  <c r="C23" i="1"/>
  <c r="C20" i="1"/>
  <c r="C22" i="1"/>
  <c r="C21" i="1"/>
  <c r="C11" i="1"/>
  <c r="C19" i="1"/>
  <c r="C18" i="1"/>
  <c r="C17" i="1"/>
  <c r="C16" i="1"/>
  <c r="C15" i="1"/>
  <c r="C14" i="1"/>
  <c r="C13" i="1"/>
  <c r="C12" i="1"/>
  <c r="C97" i="1" l="1"/>
  <c r="D100" i="1"/>
  <c r="E100" i="1"/>
  <c r="E99" i="1"/>
  <c r="E98" i="1"/>
  <c r="E97" i="1"/>
  <c r="D99" i="1"/>
  <c r="D98" i="1"/>
  <c r="D97" i="1"/>
  <c r="C100" i="1"/>
  <c r="C99" i="1"/>
  <c r="C98" i="1"/>
  <c r="D85" i="1"/>
  <c r="D84" i="1"/>
  <c r="D83" i="1"/>
  <c r="D82" i="1"/>
  <c r="D81" i="1"/>
  <c r="D80" i="1"/>
  <c r="D79" i="1"/>
  <c r="D78" i="1"/>
  <c r="D77" i="1"/>
  <c r="D76" i="1"/>
  <c r="D75" i="1"/>
  <c r="D74" i="1"/>
  <c r="D73" i="1"/>
  <c r="C84" i="1"/>
  <c r="C83" i="1"/>
  <c r="C82" i="1"/>
  <c r="C81" i="1"/>
  <c r="C80" i="1"/>
  <c r="C79" i="1"/>
  <c r="C78" i="1"/>
  <c r="C77" i="1"/>
  <c r="C76" i="1"/>
  <c r="C75" i="1"/>
  <c r="C73" i="1"/>
  <c r="C74" i="1"/>
  <c r="B85" i="1"/>
  <c r="B84" i="1"/>
  <c r="B83" i="1"/>
  <c r="B82" i="1"/>
  <c r="B81" i="1"/>
  <c r="B80" i="1"/>
  <c r="B79" i="1"/>
  <c r="B78" i="1"/>
  <c r="B77" i="1"/>
  <c r="B76" i="1"/>
  <c r="B75" i="1"/>
  <c r="B74" i="1"/>
  <c r="B73" i="1"/>
  <c r="AJ34" i="5"/>
  <c r="AI34" i="5"/>
  <c r="AH34" i="5"/>
  <c r="AG34" i="5"/>
  <c r="AF34" i="5"/>
  <c r="AE34" i="5"/>
  <c r="AD34" i="5"/>
  <c r="AC34" i="5"/>
  <c r="AB34" i="5"/>
  <c r="AA34" i="5"/>
  <c r="Z34" i="5"/>
  <c r="AJ33" i="5"/>
  <c r="AI33" i="5"/>
  <c r="AH33" i="5"/>
  <c r="AH36" i="5" s="1"/>
  <c r="AG33" i="5"/>
  <c r="AF33" i="5"/>
  <c r="AE33" i="5"/>
  <c r="AD33" i="5"/>
  <c r="AD36" i="5" s="1"/>
  <c r="AC33" i="5"/>
  <c r="AB33" i="5"/>
  <c r="AA33" i="5"/>
  <c r="Z33" i="5"/>
  <c r="Z36" i="5" s="1"/>
  <c r="AJ32" i="5"/>
  <c r="AI32" i="5"/>
  <c r="AH32" i="5"/>
  <c r="AG32" i="5"/>
  <c r="AG35" i="5" s="1"/>
  <c r="AF32" i="5"/>
  <c r="AE32" i="5"/>
  <c r="AD32" i="5"/>
  <c r="AC32" i="5"/>
  <c r="AC35" i="5" s="1"/>
  <c r="AB32" i="5"/>
  <c r="AA32" i="5"/>
  <c r="Z32" i="5"/>
  <c r="X34" i="5"/>
  <c r="X33" i="5"/>
  <c r="X32" i="5"/>
  <c r="X35" i="5" s="1"/>
  <c r="W34" i="5"/>
  <c r="W33" i="5"/>
  <c r="W32" i="5"/>
  <c r="V34" i="5"/>
  <c r="V37" i="5" s="1"/>
  <c r="V33" i="5"/>
  <c r="V36" i="5" s="1"/>
  <c r="V32" i="5"/>
  <c r="U34" i="5"/>
  <c r="U33" i="5"/>
  <c r="U32" i="5"/>
  <c r="T34" i="5"/>
  <c r="T33" i="5"/>
  <c r="T32" i="5"/>
  <c r="T35" i="5" s="1"/>
  <c r="S34" i="5"/>
  <c r="S37" i="5" s="1"/>
  <c r="S33" i="5"/>
  <c r="S32" i="5"/>
  <c r="R34" i="5"/>
  <c r="R37" i="5" s="1"/>
  <c r="R33" i="5"/>
  <c r="R32" i="5"/>
  <c r="Q34" i="5"/>
  <c r="Q33" i="5"/>
  <c r="Q32" i="5"/>
  <c r="P34" i="5"/>
  <c r="P33" i="5"/>
  <c r="P36" i="5" s="1"/>
  <c r="P32" i="5"/>
  <c r="P35" i="5" s="1"/>
  <c r="O33" i="5"/>
  <c r="O32" i="5"/>
  <c r="N37" i="5"/>
  <c r="H132" i="1"/>
  <c r="H131" i="1"/>
  <c r="H129" i="1"/>
  <c r="H128" i="1"/>
  <c r="H127" i="1"/>
  <c r="H126" i="1"/>
  <c r="H125" i="1"/>
  <c r="H124" i="1"/>
  <c r="H123" i="1"/>
  <c r="H121" i="1"/>
  <c r="H120" i="1"/>
  <c r="H119" i="1"/>
  <c r="H117" i="1"/>
  <c r="H116" i="1"/>
  <c r="H115" i="1"/>
  <c r="H113" i="1"/>
  <c r="H112" i="1"/>
  <c r="H111" i="1"/>
  <c r="H109" i="1"/>
  <c r="H108" i="1"/>
  <c r="H107" i="1"/>
  <c r="G132" i="1"/>
  <c r="G131" i="1"/>
  <c r="G129" i="1"/>
  <c r="G128" i="1"/>
  <c r="G127" i="1"/>
  <c r="G125" i="1"/>
  <c r="G124" i="1"/>
  <c r="G123" i="1"/>
  <c r="G121" i="1"/>
  <c r="G120" i="1"/>
  <c r="G119" i="1"/>
  <c r="G117" i="1"/>
  <c r="G116" i="1"/>
  <c r="G115" i="1"/>
  <c r="G113" i="1"/>
  <c r="G112" i="1"/>
  <c r="G111" i="1"/>
  <c r="G108" i="1"/>
  <c r="G107" i="1"/>
  <c r="E111" i="1"/>
  <c r="E113" i="1"/>
  <c r="E114" i="1"/>
  <c r="E115" i="1"/>
  <c r="E117" i="1"/>
  <c r="E118" i="1"/>
  <c r="E119" i="1"/>
  <c r="E121" i="1"/>
  <c r="E122" i="1"/>
  <c r="E123" i="1"/>
  <c r="E125" i="1"/>
  <c r="E126" i="1"/>
  <c r="E127" i="1"/>
  <c r="E129" i="1"/>
  <c r="E130" i="1"/>
  <c r="E132" i="1"/>
  <c r="E133" i="1"/>
  <c r="E109" i="1"/>
  <c r="E107" i="1"/>
  <c r="B39" i="1"/>
  <c r="B34" i="1"/>
  <c r="B35" i="1"/>
  <c r="B37" i="1"/>
  <c r="B38" i="1"/>
  <c r="B40" i="1"/>
  <c r="B41" i="1"/>
  <c r="B42" i="1"/>
  <c r="B43" i="1"/>
  <c r="B44" i="1"/>
  <c r="B45" i="1"/>
  <c r="B46" i="1"/>
  <c r="B47" i="1"/>
  <c r="B48" i="1"/>
  <c r="B49" i="1"/>
  <c r="B36" i="1"/>
  <c r="B33" i="1"/>
  <c r="B32" i="1"/>
  <c r="B31" i="1"/>
  <c r="B30" i="1"/>
  <c r="E96" i="1"/>
  <c r="E94" i="1"/>
  <c r="E93" i="1"/>
  <c r="D96" i="1"/>
  <c r="C96" i="1"/>
  <c r="B91" i="1"/>
  <c r="L33" i="7"/>
  <c r="L34" i="7"/>
  <c r="M27" i="7"/>
  <c r="L27" i="7"/>
  <c r="M26" i="7"/>
  <c r="L26" i="7"/>
  <c r="M25" i="7"/>
  <c r="L25" i="7"/>
  <c r="M24" i="7"/>
  <c r="L24" i="7"/>
  <c r="M23" i="7"/>
  <c r="L23" i="7"/>
  <c r="M22" i="7"/>
  <c r="L22" i="7"/>
  <c r="M21" i="7"/>
  <c r="L21" i="7"/>
  <c r="M20" i="7"/>
  <c r="L20" i="7"/>
  <c r="M19" i="7"/>
  <c r="L19" i="7"/>
  <c r="M18" i="7"/>
  <c r="L18" i="7"/>
  <c r="M17" i="7"/>
  <c r="L17" i="7"/>
  <c r="M16" i="7"/>
  <c r="L16" i="7"/>
  <c r="M15" i="7"/>
  <c r="L15" i="7"/>
  <c r="M14" i="7"/>
  <c r="L14" i="7"/>
  <c r="M13" i="7"/>
  <c r="L13" i="7"/>
  <c r="I120" i="1"/>
  <c r="I105" i="1"/>
  <c r="B55" i="1"/>
  <c r="K67" i="1"/>
  <c r="B105" i="1"/>
  <c r="K1" i="1"/>
  <c r="B106" i="1"/>
  <c r="G109" i="1"/>
  <c r="G110" i="1"/>
  <c r="H110" i="1"/>
  <c r="G114" i="1"/>
  <c r="H114" i="1"/>
  <c r="G118" i="1"/>
  <c r="H118" i="1"/>
  <c r="G122" i="1"/>
  <c r="H122" i="1"/>
  <c r="G126" i="1"/>
  <c r="G133" i="1"/>
  <c r="H133" i="1"/>
  <c r="E108" i="1"/>
  <c r="E112" i="1"/>
  <c r="E116" i="1"/>
  <c r="E120" i="1"/>
  <c r="E124" i="1"/>
  <c r="E128" i="1"/>
  <c r="E131" i="1"/>
  <c r="S35" i="5" l="1"/>
  <c r="T36" i="5"/>
  <c r="Q37" i="5"/>
  <c r="Z37" i="5"/>
  <c r="AD37" i="5"/>
  <c r="AB35" i="5"/>
  <c r="AF35" i="5"/>
  <c r="AJ35" i="5"/>
  <c r="AC36" i="5"/>
  <c r="AG36" i="5"/>
  <c r="AA37" i="5"/>
  <c r="N36" i="5"/>
  <c r="O37" i="5"/>
  <c r="Q35" i="5"/>
  <c r="R36" i="5"/>
  <c r="U35" i="5"/>
  <c r="W37" i="5"/>
  <c r="Z35" i="5"/>
  <c r="O35" i="5"/>
  <c r="W35" i="5"/>
  <c r="X36" i="5"/>
  <c r="U37" i="5"/>
  <c r="AH37" i="5"/>
  <c r="AI37" i="5"/>
  <c r="AE37" i="5"/>
  <c r="AC37" i="5"/>
  <c r="AD35" i="5"/>
  <c r="AH35" i="5"/>
  <c r="AA36" i="5"/>
  <c r="AE36" i="5"/>
  <c r="AI36" i="5"/>
  <c r="AB37" i="5"/>
  <c r="AF37" i="5"/>
  <c r="AJ37" i="5"/>
  <c r="AE35" i="5"/>
  <c r="AI35" i="5"/>
  <c r="AB36" i="5"/>
  <c r="AF36" i="5"/>
  <c r="AJ36" i="5"/>
  <c r="AG37" i="5"/>
  <c r="U36" i="5"/>
  <c r="Q36" i="5"/>
  <c r="AA35" i="5"/>
  <c r="H130" i="1"/>
  <c r="O36" i="5"/>
  <c r="P37" i="5"/>
  <c r="R35" i="5"/>
  <c r="S36" i="5"/>
  <c r="T37" i="5"/>
  <c r="V35" i="5"/>
  <c r="W36" i="5"/>
  <c r="X37" i="5"/>
  <c r="G89" i="1"/>
  <c r="G90" i="1"/>
  <c r="G130" i="1"/>
  <c r="B46" i="5" l="1"/>
  <c r="B42" i="5"/>
  <c r="B40" i="5"/>
  <c r="B41" i="5"/>
  <c r="B47" i="5"/>
  <c r="B4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Katrina.J.Evans</author>
  </authors>
  <commentList>
    <comment ref="B7" authorId="0" shapeId="0" xr:uid="{00000000-0006-0000-0000-000001000000}">
      <text>
        <r>
          <rPr>
            <b/>
            <sz val="10"/>
            <color indexed="81"/>
            <rFont val="Calibri"/>
            <family val="2"/>
            <scheme val="minor"/>
          </rPr>
          <t>Labor Force.</t>
        </r>
        <r>
          <rPr>
            <sz val="10"/>
            <color indexed="81"/>
            <rFont val="Calibri"/>
            <family val="2"/>
            <scheme val="minor"/>
          </rPr>
          <t xml:space="preserve"> All persons 16 years of age and over who are classified as employed, unemployed and seeking employment, or involved in a labor-management dispute. Estimates are based on place of residence, without regard to the location of current or former places of work. The civilian labor force excludes members of the armed forces and the institutionalized population. The labor force does not include persons who never worked a full-time job lasting two weeks or longer, or discouraged workers who have been unemployed for a substantial length of time and are no longer actively seeking employment. The unemployed includes those without a job but who were available for and seeking employment, regardless of eligibility for unemployment insurance benefits. </t>
        </r>
        <r>
          <rPr>
            <sz val="10"/>
            <color indexed="9"/>
            <rFont val="Calibri"/>
            <family val="2"/>
            <scheme val="minor"/>
          </rPr>
          <t xml:space="preserve">
</t>
        </r>
      </text>
    </comment>
    <comment ref="B27" authorId="0" shapeId="0" xr:uid="{00000000-0006-0000-0000-000002000000}">
      <text>
        <r>
          <rPr>
            <b/>
            <sz val="10"/>
            <color indexed="81"/>
            <rFont val="Calibri"/>
            <family val="2"/>
            <scheme val="minor"/>
          </rPr>
          <t>Nonfarm Wage and Salary Employment.</t>
        </r>
        <r>
          <rPr>
            <sz val="10"/>
            <color indexed="81"/>
            <rFont val="Calibri"/>
            <family val="2"/>
            <scheme val="minor"/>
          </rPr>
          <t xml:space="preserve"> Also known as Current Employment Statistics (CES). Estimates of non-farm wage and salary employment and production workers' hours and earnings by industry. The data is based on a count of jobs by place of work. The estimates are produced monthly in cooperation with the Bureau of Labor Statistics as part of a nationwide program for each state and metropolitan statistical area (MSA) from a sample of employing establishments.</t>
        </r>
      </text>
    </comment>
    <comment ref="B53" authorId="0" shapeId="0" xr:uid="{00000000-0006-0000-0000-000003000000}">
      <text>
        <r>
          <rPr>
            <b/>
            <sz val="10"/>
            <color indexed="81"/>
            <rFont val="Calibri"/>
            <family val="2"/>
            <scheme val="minor"/>
          </rPr>
          <t>Consumer Price Index (CPI). P</t>
        </r>
        <r>
          <rPr>
            <sz val="10"/>
            <color indexed="81"/>
            <rFont val="Calibri"/>
            <family val="2"/>
            <scheme val="minor"/>
          </rPr>
          <t>rovides a statistical measure of the average change in prices in a fixed market basket of goods and services. It is frequently called a cost-of-living index, however, it is not a complete cost-of-living measure. The CPI for all Urban Consumers (CPI-U) covers approximately 80 percent of the total noninstitutional, civilian population of the United States.</t>
        </r>
      </text>
    </comment>
    <comment ref="G53" authorId="0" shapeId="0" xr:uid="{00000000-0006-0000-0000-000004000000}">
      <text>
        <r>
          <rPr>
            <b/>
            <sz val="10"/>
            <color indexed="81"/>
            <rFont val="Calibri"/>
            <family val="2"/>
            <scheme val="minor"/>
          </rPr>
          <t>Building Permits.</t>
        </r>
        <r>
          <rPr>
            <sz val="10"/>
            <color indexed="81"/>
            <rFont val="Calibri"/>
            <family val="2"/>
            <scheme val="minor"/>
          </rPr>
          <t xml:space="preserve"> A measure of housing units authorized by building permits issued in local permit-issuing jurisdictions by a building or zoning permit. Usually construction is begun for all but a very small percentage of units authorized by permits during the month of permit issuance, or within the three following months. Because of this lag, building permit data do not represent the number of units actually put into construction for the period shown, and are not necessarily "housing starts."
A housing unit is a house, an apartment, a group of rooms or a single room intended for occupancy as separate living quarters. Separate living quarters are those in which the occupants live separately from any other individuals in the building and which have a direct access from the outside of the building or through a common hall. Units which do not have a ground-to-roof wall and/or have common facilities (i.e., attic, basement, heating plant, or plumbing) are classified by the number of units in the structure.</t>
        </r>
      </text>
    </comment>
    <comment ref="B70" authorId="0" shapeId="0" xr:uid="{00000000-0006-0000-0000-000005000000}">
      <text>
        <r>
          <rPr>
            <b/>
            <sz val="10"/>
            <color indexed="81"/>
            <rFont val="Calibri"/>
            <family val="2"/>
            <scheme val="minor"/>
          </rPr>
          <t xml:space="preserve">Unemployment Insurance Claims. </t>
        </r>
        <r>
          <rPr>
            <sz val="10"/>
            <color indexed="81"/>
            <rFont val="Calibri"/>
            <family val="2"/>
            <scheme val="minor"/>
          </rPr>
          <t xml:space="preserve">A count of initial claims and continued weeks claimed for regular unemployment insurance benefits. These data exclude special programs, such as Emergency Unemployment Compensation (EUC), Disaster Unemployment, and Extended Benefits (EB). </t>
        </r>
        <r>
          <rPr>
            <b/>
            <sz val="10"/>
            <color indexed="81"/>
            <rFont val="Calibri"/>
            <family val="2"/>
            <scheme val="minor"/>
          </rPr>
          <t xml:space="preserve">
Initial Claims. </t>
        </r>
        <r>
          <rPr>
            <sz val="10"/>
            <color indexed="81"/>
            <rFont val="Calibri"/>
            <family val="2"/>
            <scheme val="minor"/>
          </rPr>
          <t xml:space="preserve">Claims for unemployment benefits filed (1) to request a determination of entitlement to and eligibility for compensation, or (2) to begin a second or subsequent period of unemployment benefits within a benefit year after intervening employment.
</t>
        </r>
        <r>
          <rPr>
            <b/>
            <sz val="10"/>
            <color indexed="81"/>
            <rFont val="Calibri"/>
            <family val="2"/>
            <scheme val="minor"/>
          </rPr>
          <t>Continued Weeks Claimed.</t>
        </r>
        <r>
          <rPr>
            <sz val="10"/>
            <color indexed="81"/>
            <rFont val="Calibri"/>
            <family val="2"/>
            <scheme val="minor"/>
          </rPr>
          <t xml:space="preserve"> A request for payment of benefits for a week of unemployment after the week has occurred. A claimant cannot file for a week of unemployment until that week has passed. Weeks for which a waiting period or fixed disqualification period is being served are included.</t>
        </r>
      </text>
    </comment>
    <comment ref="B89" authorId="0" shapeId="0" xr:uid="{00000000-0006-0000-0000-000006000000}">
      <text>
        <r>
          <rPr>
            <b/>
            <sz val="10"/>
            <color indexed="81"/>
            <rFont val="Calibri"/>
            <family val="2"/>
            <scheme val="minor"/>
          </rPr>
          <t xml:space="preserve">Duration of Unemployment. </t>
        </r>
        <r>
          <rPr>
            <sz val="10"/>
            <color indexed="81"/>
            <rFont val="Calibri"/>
            <family val="2"/>
            <scheme val="minor"/>
          </rPr>
          <t xml:space="preserve"> These data do not solely represent New Hampshire residents filing claims for unemployment compenstation, but all unemployed persons as reported in the Current Population Survey (CPS) results.
The duration of unemployment represents the length of time (through the current reference week) that individuals classified as unemployed have been looking for work and refers to job searches in continuous progress rather than the duration of a completed spell. Statewide estimates on the economic characteristics of the unemployed, including duration of unemployment, are based on quarterly averages of monthly data obtained from unpublished Current Population Survey (CPS) results, and are subject to sampling error. The unpublished data are less precise statistically and are better used as an indication of trend rather than an absolute value. 
The CPS is a monthly survey of about 50,000 households conducted by the Bureau of the Census for the Bureau of Labor Statistics. The survey has been conducted for more than 50 years. For more information, go to the Census Bureau web site at http://www.census.gov/cps/.</t>
        </r>
      </text>
    </comment>
    <comment ref="B104" authorId="0" shapeId="0" xr:uid="{00000000-0006-0000-0000-000007000000}">
      <text>
        <r>
          <rPr>
            <b/>
            <sz val="10"/>
            <color indexed="81"/>
            <rFont val="Calibri"/>
            <family val="2"/>
            <scheme val="minor"/>
          </rPr>
          <t xml:space="preserve">Employment and Wages. </t>
        </r>
        <r>
          <rPr>
            <sz val="10"/>
            <color indexed="81"/>
            <rFont val="Calibri"/>
            <family val="2"/>
            <scheme val="minor"/>
          </rPr>
          <t xml:space="preserve">The Quarterly Census of Employment and Wages (QCEW) program measures jobs covered by Unemployment Insurance (UI) and Unemployment Coverage for Federal Employees (UCFE). The program derives data from quarterly tax reports submitted to NH Employment Security by employers who are subject to state unemployment insurance laws and from Federal agencies subject to the Unemployment Compensation for Federal Employees law. These reports provide information on the number of people employed and the wages paid to employees each quarter, as well as the location and industrial activity of each reported establishment. Location and industrial classification codes are assigned accordingly, and this establishment level information is aggregated by industry code. Publication of data is withheld when necessary to protect the identity and data of cooperating employers.
</t>
        </r>
      </text>
    </comment>
  </commentList>
</comments>
</file>

<file path=xl/sharedStrings.xml><?xml version="1.0" encoding="utf-8"?>
<sst xmlns="http://schemas.openxmlformats.org/spreadsheetml/2006/main" count="3734" uniqueCount="620">
  <si>
    <t>337690</t>
  </si>
  <si>
    <t>337435</t>
  </si>
  <si>
    <t>337540</t>
  </si>
  <si>
    <t>257360</t>
  </si>
  <si>
    <t>257420</t>
  </si>
  <si>
    <t>257480</t>
  </si>
  <si>
    <t>00000000</t>
  </si>
  <si>
    <t>30000000</t>
  </si>
  <si>
    <t>42000000</t>
  </si>
  <si>
    <t>70000000</t>
  </si>
  <si>
    <t>80000000</t>
  </si>
  <si>
    <t>90000000</t>
  </si>
  <si>
    <t>41000000</t>
  </si>
  <si>
    <t>43000000</t>
  </si>
  <si>
    <t>Not Seasonally Adjusted</t>
  </si>
  <si>
    <t>Base Period:  1982-84=100</t>
  </si>
  <si>
    <t>Consumer Price Index - All Urban Consumers</t>
  </si>
  <si>
    <t>U.S. city average</t>
  </si>
  <si>
    <t>All Items</t>
  </si>
  <si>
    <t>OTY Pct Change</t>
  </si>
  <si>
    <t>Goods-Producing Industries</t>
  </si>
  <si>
    <t>Agriculture/Forestry/Fishing</t>
  </si>
  <si>
    <t>Mining</t>
  </si>
  <si>
    <t>Construction</t>
  </si>
  <si>
    <t>Manufacturing</t>
  </si>
  <si>
    <t>Service-Providing Industries</t>
  </si>
  <si>
    <t>Utilities</t>
  </si>
  <si>
    <t>Wholesale Trade</t>
  </si>
  <si>
    <t>Retail Trade</t>
  </si>
  <si>
    <t>Transportation and Warehousing</t>
  </si>
  <si>
    <t>Information</t>
  </si>
  <si>
    <t>Finance and Insurance</t>
  </si>
  <si>
    <t>Real Estate and Rental and Leasing</t>
  </si>
  <si>
    <t>Professional and Technical Service</t>
  </si>
  <si>
    <t>Management of Companies/Enterprises</t>
  </si>
  <si>
    <t>Administrative and Waste Services</t>
  </si>
  <si>
    <t>Educational Services</t>
  </si>
  <si>
    <t>Health Care and Social Assistance</t>
  </si>
  <si>
    <t>Arts, Entertainment, and Recreation</t>
  </si>
  <si>
    <t>Accommodation and Food Services</t>
  </si>
  <si>
    <t>Other Services Except Public Admin</t>
  </si>
  <si>
    <t>Unclassified Establishments</t>
  </si>
  <si>
    <t>Total, Private plus Government</t>
  </si>
  <si>
    <t>Total Private</t>
  </si>
  <si>
    <t>Total Government</t>
  </si>
  <si>
    <t>Federal Government</t>
  </si>
  <si>
    <t>State Government</t>
  </si>
  <si>
    <t>Local Government</t>
  </si>
  <si>
    <t>NH</t>
  </si>
  <si>
    <t>Units</t>
  </si>
  <si>
    <t>AQE</t>
  </si>
  <si>
    <t>AWW</t>
  </si>
  <si>
    <t>Belknap</t>
  </si>
  <si>
    <t>Carroll</t>
  </si>
  <si>
    <t>Cheshire</t>
  </si>
  <si>
    <t>Coos</t>
  </si>
  <si>
    <t>Grafton</t>
  </si>
  <si>
    <t>Hillsborough</t>
  </si>
  <si>
    <t>Merrimack</t>
  </si>
  <si>
    <t>Rockingham</t>
  </si>
  <si>
    <t>Strafford</t>
  </si>
  <si>
    <t>Sullivan</t>
  </si>
  <si>
    <t>New Hampshire</t>
  </si>
  <si>
    <t>Employing</t>
  </si>
  <si>
    <t>Employment</t>
  </si>
  <si>
    <t>Ave. Weekly</t>
  </si>
  <si>
    <t>Wage</t>
  </si>
  <si>
    <t>Ave. Quarterly</t>
  </si>
  <si>
    <t>CPI</t>
  </si>
  <si>
    <t>Energy</t>
  </si>
  <si>
    <t>CUUR0000SA0E</t>
  </si>
  <si>
    <t>CUUR0000SA0</t>
  </si>
  <si>
    <t>Food and beverages</t>
  </si>
  <si>
    <t>CUUR0000SAF</t>
  </si>
  <si>
    <t>Housing</t>
  </si>
  <si>
    <t>CUUR0000SAH</t>
  </si>
  <si>
    <t>Medical care</t>
  </si>
  <si>
    <t>CUUR0000SAM</t>
  </si>
  <si>
    <t>Transportation</t>
  </si>
  <si>
    <t>CUUR0000SAT</t>
  </si>
  <si>
    <t>n = data does not meet disclosure standards</t>
  </si>
  <si>
    <t>Select Area</t>
  </si>
  <si>
    <t>US-NSA</t>
  </si>
  <si>
    <t>US-SA</t>
  </si>
  <si>
    <t>NH-NSA</t>
  </si>
  <si>
    <t>NH-SA</t>
  </si>
  <si>
    <t>Labor Force</t>
  </si>
  <si>
    <t>Employed</t>
  </si>
  <si>
    <t>Unemployed</t>
  </si>
  <si>
    <t>Rate</t>
  </si>
  <si>
    <t>United States - Not Seasonally Adjusted</t>
  </si>
  <si>
    <t>United States - Seasonally Adjusted</t>
  </si>
  <si>
    <t>New Hampshire - Not Seasonally Adjusted</t>
  </si>
  <si>
    <t>New Hampshire - Seasonally Adjusted</t>
  </si>
  <si>
    <t>Belknap County</t>
  </si>
  <si>
    <t>Carroll County</t>
  </si>
  <si>
    <t>Cheshire County</t>
  </si>
  <si>
    <t>Grafton County</t>
  </si>
  <si>
    <t>Hillsborough County</t>
  </si>
  <si>
    <t>Merrimack County</t>
  </si>
  <si>
    <t>Rockingham County</t>
  </si>
  <si>
    <t>Strafford County</t>
  </si>
  <si>
    <t>Sullivan County</t>
  </si>
  <si>
    <t>Berlin NH MicroNECTA</t>
  </si>
  <si>
    <t>Charlestown NH LMA</t>
  </si>
  <si>
    <t>Haverhill NH LMA</t>
  </si>
  <si>
    <t>Hillsborough NH LMA</t>
  </si>
  <si>
    <t>Keene NH MicroNECTA</t>
  </si>
  <si>
    <t>Laconia NH MicroNECTA</t>
  </si>
  <si>
    <t>Manchester NH MetroNECTA</t>
  </si>
  <si>
    <t>New London NH LMA</t>
  </si>
  <si>
    <t>Peterborough NH LMA</t>
  </si>
  <si>
    <t>Plymouth NH LMA</t>
  </si>
  <si>
    <t>Wolfeboro NH LMA</t>
  </si>
  <si>
    <t>Lawrence-Methuen-Salem MA-NH NECTA Division</t>
  </si>
  <si>
    <t>Lowell-Billerica-Chelmsford MA-NH NECTA Division</t>
  </si>
  <si>
    <t>Nashua NH-MA NECTA Division</t>
  </si>
  <si>
    <t>Portsmouth NH-ME MetroNECTA</t>
  </si>
  <si>
    <t>Littleton NH-VT LMA</t>
  </si>
  <si>
    <t>Colebrook NH-VT LMA</t>
  </si>
  <si>
    <t>Retrieved:</t>
  </si>
  <si>
    <t>Concord NH MicroNECTA</t>
  </si>
  <si>
    <t>Unemployment Rate</t>
  </si>
  <si>
    <t>Coös County</t>
  </si>
  <si>
    <t xml:space="preserve">Total Nonfarm      </t>
  </si>
  <si>
    <t xml:space="preserve">Manufacturing  </t>
  </si>
  <si>
    <t xml:space="preserve">Wholesale Trade  </t>
  </si>
  <si>
    <t xml:space="preserve">Retail Trade                                                </t>
  </si>
  <si>
    <t xml:space="preserve">Leisure and Hospitality   </t>
  </si>
  <si>
    <t xml:space="preserve">Professional and Business Services   </t>
  </si>
  <si>
    <t xml:space="preserve">Other Services    </t>
  </si>
  <si>
    <t xml:space="preserve">Total Government    </t>
  </si>
  <si>
    <t xml:space="preserve">Mining, Logging, and Construction     </t>
  </si>
  <si>
    <t>Education and Health Care</t>
  </si>
  <si>
    <t xml:space="preserve">Transportation, Warehousing, and Utilities       </t>
  </si>
  <si>
    <t>New Hampshire, Not Seasonally Adjusted</t>
  </si>
  <si>
    <t>New Hampshire, Seasonally Adjusted</t>
  </si>
  <si>
    <t>Manchester MetroNECTA</t>
  </si>
  <si>
    <t>Lowell-Billerica-Chelmsford MA-NH NECTA Div.</t>
  </si>
  <si>
    <t>Nashua NH-MA NECTA Div.</t>
  </si>
  <si>
    <t>--</t>
  </si>
  <si>
    <t>Pct. Change</t>
  </si>
  <si>
    <t>1-Month</t>
  </si>
  <si>
    <t>12-Month</t>
  </si>
  <si>
    <t>Initial Claims</t>
  </si>
  <si>
    <t>Continued Weeks Claimed</t>
  </si>
  <si>
    <t>Initial</t>
  </si>
  <si>
    <t>Continued</t>
  </si>
  <si>
    <t>Weeks Claimed</t>
  </si>
  <si>
    <t>Claims</t>
  </si>
  <si>
    <t>Consumer Price Index</t>
  </si>
  <si>
    <t>Source: U.S. Bureau of Labor Statistics</t>
  </si>
  <si>
    <t>Over-the-Year Percent Change</t>
  </si>
  <si>
    <t>Total Private Ownership</t>
  </si>
  <si>
    <t>Total</t>
  </si>
  <si>
    <t>1 Unit</t>
  </si>
  <si>
    <t>2 Units</t>
  </si>
  <si>
    <t>or More</t>
  </si>
  <si>
    <t>3 and 4</t>
  </si>
  <si>
    <t>5 Units</t>
  </si>
  <si>
    <t>Multi-Unit</t>
  </si>
  <si>
    <t>Building Permits</t>
  </si>
  <si>
    <t>Source: U.S. Census Bureau</t>
  </si>
  <si>
    <t>Housing Units Authorized by Building Permit in New Hampshire</t>
  </si>
  <si>
    <t>For Graph</t>
  </si>
  <si>
    <t>Professional and Technical Services</t>
  </si>
  <si>
    <t>Agriculture, Forestry and Fishing</t>
  </si>
  <si>
    <t>Service-Providing Last Quarter</t>
  </si>
  <si>
    <t>Goods-Producing Last Quarter</t>
  </si>
  <si>
    <t>Total Government Last Quarter</t>
  </si>
  <si>
    <t>Services</t>
  </si>
  <si>
    <t>Goods</t>
  </si>
  <si>
    <t>Government</t>
  </si>
  <si>
    <t xml:space="preserve">Goods </t>
  </si>
  <si>
    <t xml:space="preserve">Services </t>
  </si>
  <si>
    <t>Gov</t>
  </si>
  <si>
    <t>Gov't</t>
  </si>
  <si>
    <t>5 to 14 Weeks (thousands)</t>
  </si>
  <si>
    <t>15 to 26 Weeks (thousands)</t>
  </si>
  <si>
    <t>27 to 51 Weeks (thousands)</t>
  </si>
  <si>
    <t>Median Duration (weeks)</t>
  </si>
  <si>
    <t>52 Weeks or More (thousands)</t>
  </si>
  <si>
    <t>Mean Duration (Weeks)</t>
  </si>
  <si>
    <t>Less than 5 weeks (thousands)</t>
  </si>
  <si>
    <t>Both Sexes, All Races</t>
  </si>
  <si>
    <t>Median Duration (Weeks)</t>
  </si>
  <si>
    <t>Both Sexes, Age 16-19</t>
  </si>
  <si>
    <t>Both Sexes, Age 20+</t>
  </si>
  <si>
    <t>Males, Age 16+</t>
  </si>
  <si>
    <t>Females, Age 16+</t>
  </si>
  <si>
    <t>DualResult</t>
  </si>
  <si>
    <t>Label1</t>
  </si>
  <si>
    <t>Both Sexes, Ages 16-19</t>
  </si>
  <si>
    <t>Both Sexes, Ages 20+</t>
  </si>
  <si>
    <t>Males, Ages 16+</t>
  </si>
  <si>
    <t>Females, Ages 16+</t>
  </si>
  <si>
    <t>Label2</t>
  </si>
  <si>
    <t>Males</t>
  </si>
  <si>
    <t>Age 16+</t>
  </si>
  <si>
    <t>Females</t>
  </si>
  <si>
    <t>Both Sexes</t>
  </si>
  <si>
    <t>Number of Weeks Unemployed</t>
  </si>
  <si>
    <t>Median</t>
  </si>
  <si>
    <t>Mean</t>
  </si>
  <si>
    <t xml:space="preserve">Less than 5 </t>
  </si>
  <si>
    <t>5 to 14</t>
  </si>
  <si>
    <t>15 to 26</t>
  </si>
  <si>
    <t>27 to 51</t>
  </si>
  <si>
    <t xml:space="preserve">52 or more </t>
  </si>
  <si>
    <t>All Races</t>
  </si>
  <si>
    <t xml:space="preserve">Select Duration Data </t>
  </si>
  <si>
    <t>Select Age and Gender</t>
  </si>
  <si>
    <t>To Print Report:</t>
  </si>
  <si>
    <t>Make Area and Data selections below, then</t>
  </si>
  <si>
    <t>select File and Print.</t>
  </si>
  <si>
    <t>All Urban Consumers, U.S. City Average</t>
  </si>
  <si>
    <t>Duration of Unemployment by Quarter</t>
  </si>
  <si>
    <t>Unemployed Persons by Weeks Unemployed</t>
  </si>
  <si>
    <t>Employment and Wages, Workers Covered by Unemployment Insurance</t>
  </si>
  <si>
    <t>Mining and Logging</t>
  </si>
  <si>
    <t>05000000</t>
  </si>
  <si>
    <t>Financial Activities</t>
  </si>
  <si>
    <t>06000000</t>
  </si>
  <si>
    <t>07000000</t>
  </si>
  <si>
    <t>Employment &amp; Unemployment (Household Series)</t>
  </si>
  <si>
    <t>Nonfarm Wage &amp; Salary Employment (Workplace Series)</t>
  </si>
  <si>
    <t>Source: NH Employment Security</t>
  </si>
  <si>
    <t>Source: Unpublished Data, Current Population Survey</t>
  </si>
  <si>
    <t>Unemployment</t>
  </si>
  <si>
    <t>08000000</t>
  </si>
  <si>
    <t>Private Service-Providing</t>
  </si>
  <si>
    <t>10000000</t>
  </si>
  <si>
    <t>Trade, Transportation, and Utilities</t>
  </si>
  <si>
    <t>000000</t>
  </si>
  <si>
    <t>Current Mo.</t>
  </si>
  <si>
    <t>Source: Economic &amp; Labor Market Information Bureau, QCEW Program</t>
  </si>
  <si>
    <t>Source: Economic &amp; Labor Market Information Bureau, CES Program</t>
  </si>
  <si>
    <t>Source: Economic &amp; Labor Market Information Bureau, LAUS Program</t>
  </si>
  <si>
    <t xml:space="preserve">Single Unit Structure </t>
  </si>
  <si>
    <t>2+ Units in Structure</t>
  </si>
  <si>
    <t>Unit Count by Number of Units in Structure</t>
  </si>
  <si>
    <t xml:space="preserve">NH Economic Trends Dashboard </t>
  </si>
  <si>
    <t>Median Duration of Unemployment (in weeks)</t>
  </si>
  <si>
    <t>Mean Duration of Unemployment (in weeks)</t>
  </si>
  <si>
    <t>Unemployed Less Than 5 Weeks (persons, in thousands)</t>
  </si>
  <si>
    <t>Unemployed 5 to 14 Weeks (persons, in thousands)</t>
  </si>
  <si>
    <t>Unemployed 15 to 26 Weeks (persons, in thousands)</t>
  </si>
  <si>
    <t>Unemployed 27 to 51 Weeks (persons, in thousands)</t>
  </si>
  <si>
    <t>Unemployed 52 Weeks or More (persons, in thousands)</t>
  </si>
  <si>
    <t>HIGHLIGHTED CELLS!!</t>
  </si>
  <si>
    <t>Periods Covered:</t>
  </si>
  <si>
    <t>FORMULAS</t>
  </si>
  <si>
    <t>DO NOT CHANGE!!</t>
  </si>
  <si>
    <t>Last Update:</t>
  </si>
  <si>
    <t>Period:</t>
  </si>
  <si>
    <t>Last update:</t>
  </si>
  <si>
    <t>area</t>
  </si>
  <si>
    <t xml:space="preserve">Period: </t>
  </si>
  <si>
    <t>Edit Here!</t>
  </si>
  <si>
    <t>industry</t>
  </si>
  <si>
    <t>indtitle</t>
  </si>
  <si>
    <t>units</t>
  </si>
  <si>
    <t>ave</t>
  </si>
  <si>
    <t>aww</t>
  </si>
  <si>
    <t>000001</t>
  </si>
  <si>
    <t>101</t>
  </si>
  <si>
    <t>11</t>
  </si>
  <si>
    <t>21</t>
  </si>
  <si>
    <t>23</t>
  </si>
  <si>
    <t>102</t>
  </si>
  <si>
    <t>22</t>
  </si>
  <si>
    <t>42</t>
  </si>
  <si>
    <t>51</t>
  </si>
  <si>
    <t>52</t>
  </si>
  <si>
    <t>53</t>
  </si>
  <si>
    <t>54</t>
  </si>
  <si>
    <t>55</t>
  </si>
  <si>
    <t>56</t>
  </si>
  <si>
    <t>61</t>
  </si>
  <si>
    <t>62</t>
  </si>
  <si>
    <t>71</t>
  </si>
  <si>
    <t>72</t>
  </si>
  <si>
    <t>81</t>
  </si>
  <si>
    <t>99</t>
  </si>
  <si>
    <t>000003</t>
  </si>
  <si>
    <t>000005</t>
  </si>
  <si>
    <t>000007</t>
  </si>
  <si>
    <t>000009</t>
  </si>
  <si>
    <t>000011</t>
  </si>
  <si>
    <t>000013</t>
  </si>
  <si>
    <t>000015</t>
  </si>
  <si>
    <t>000017</t>
  </si>
  <si>
    <t>000019</t>
  </si>
  <si>
    <t>CURRENT</t>
  </si>
  <si>
    <t>Goods/Services/Total Government</t>
  </si>
  <si>
    <t>Fill to populate above rows 32-34</t>
  </si>
  <si>
    <t>FORMULAS -- DO NOT CHANGE!!</t>
  </si>
  <si>
    <t>Graph Labels Below:</t>
  </si>
  <si>
    <t>Other Services Ex. Public Administration</t>
  </si>
  <si>
    <t>Same QUARTER previous year:</t>
  </si>
  <si>
    <t>state</t>
  </si>
  <si>
    <t>county</t>
  </si>
  <si>
    <t>Food/Beverages</t>
  </si>
  <si>
    <t>Medical Care</t>
  </si>
  <si>
    <t xml:space="preserve"> </t>
  </si>
  <si>
    <t xml:space="preserve">Last Updated: </t>
  </si>
  <si>
    <t>Series ID</t>
  </si>
  <si>
    <t>View Description</t>
  </si>
  <si>
    <t>000035</t>
  </si>
  <si>
    <t>20000000</t>
  </si>
  <si>
    <t>40000000</t>
  </si>
  <si>
    <t>50000000</t>
  </si>
  <si>
    <t>55000000</t>
  </si>
  <si>
    <t>60000000</t>
  </si>
  <si>
    <t>65000000</t>
  </si>
  <si>
    <t>15000000</t>
  </si>
  <si>
    <t>Original Data Value</t>
  </si>
  <si>
    <r>
      <t xml:space="preserve">For more information, contact: </t>
    </r>
    <r>
      <rPr>
        <b/>
        <sz val="10"/>
        <rFont val="Calibri"/>
        <family val="2"/>
        <scheme val="minor"/>
      </rPr>
      <t>Economic &amp; Labor Market Information Bureau, NH Employment Security</t>
    </r>
  </si>
  <si>
    <r>
      <t xml:space="preserve">phone: </t>
    </r>
    <r>
      <rPr>
        <b/>
        <sz val="10"/>
        <rFont val="Calibri"/>
        <family val="2"/>
        <scheme val="minor"/>
      </rPr>
      <t>(603) 228-4124</t>
    </r>
  </si>
  <si>
    <r>
      <t>on the web:</t>
    </r>
    <r>
      <rPr>
        <b/>
        <sz val="10"/>
        <rFont val="Calibri"/>
        <family val="2"/>
        <scheme val="minor"/>
      </rPr>
      <t xml:space="preserve"> www.nhes.nh.gov/elmi/</t>
    </r>
  </si>
  <si>
    <r>
      <t>e-mail:</t>
    </r>
    <r>
      <rPr>
        <b/>
        <sz val="10"/>
        <rFont val="Calibri"/>
        <family val="2"/>
        <scheme val="minor"/>
      </rPr>
      <t xml:space="preserve"> elmi@nhes.nh.gov</t>
    </r>
  </si>
  <si>
    <r>
      <t xml:space="preserve">Unemployment Insurance Claims </t>
    </r>
    <r>
      <rPr>
        <b/>
        <sz val="11"/>
        <rFont val="Calibri"/>
        <family val="2"/>
        <scheme val="minor"/>
      </rPr>
      <t>(Excludes Extended Benefits Programs)</t>
    </r>
  </si>
  <si>
    <t>On CPI Page</t>
  </si>
  <si>
    <t>http://www.bls.gov/cpi/</t>
  </si>
  <si>
    <t>Scroll down</t>
  </si>
  <si>
    <t>More Tools -- Series Report</t>
  </si>
  <si>
    <t>Copy/Paste</t>
  </si>
  <si>
    <t>Click Next</t>
  </si>
  <si>
    <t>Select</t>
  </si>
  <si>
    <t>Multi-Series Table</t>
  </si>
  <si>
    <t>Check boxes</t>
  </si>
  <si>
    <t>Original Data Table and 12-Month Percent Change</t>
  </si>
  <si>
    <t>Specify year Range</t>
  </si>
  <si>
    <t>Select one time period</t>
  </si>
  <si>
    <t>Select current year in both boxes</t>
  </si>
  <si>
    <t>Select current month</t>
  </si>
  <si>
    <t>Output Type</t>
  </si>
  <si>
    <t>HTML Table</t>
  </si>
  <si>
    <t>Click Retrieve Data</t>
  </si>
  <si>
    <t>Download xlsx</t>
  </si>
  <si>
    <t>Copy and Paste below</t>
  </si>
  <si>
    <t>How-To</t>
  </si>
  <si>
    <t>DO NOT EDIT - linked to table at right</t>
  </si>
  <si>
    <t>Coos County</t>
  </si>
  <si>
    <t>Belmont NH LMA</t>
  </si>
  <si>
    <t>Colebrook NH-VT LMA, NH Portion</t>
  </si>
  <si>
    <t>Conway NH-ME LMA, NH Portion</t>
  </si>
  <si>
    <t>Dover-Durham NH-ME MetroNECTA, NH Portion</t>
  </si>
  <si>
    <t>Franklin NH LMA</t>
  </si>
  <si>
    <t>Lebanon NH-VT MicroNECTA, NH Portion</t>
  </si>
  <si>
    <t>Littleton NH-VT LMA, NH Portion</t>
  </si>
  <si>
    <t>Meredith NH LMA</t>
  </si>
  <si>
    <t>Nashua NH-MA NECTA Division, NH Portion</t>
  </si>
  <si>
    <t>Portsmouth NH-ME MetroNECTA, NH Portion</t>
  </si>
  <si>
    <t>Raymond NH LMA</t>
  </si>
  <si>
    <t>Conway NH-ME LMA</t>
  </si>
  <si>
    <t>Dover-Durham NH-ME MetroNECTA</t>
  </si>
  <si>
    <t>Lebanon NH-VT MicroNECTA</t>
  </si>
  <si>
    <t>Lowell-Billerica-Chelmsford MA-NH NECTA Division, NH Portion (Pelham)</t>
  </si>
  <si>
    <t>Lawrence-Methuen-Salem MA-NH NECTA Division, NH Portion (Salem)</t>
  </si>
  <si>
    <t>Haverhill-Newburyport-Amesbury MA-NH NECTA Division, NH Portion</t>
  </si>
  <si>
    <t>Brattleboro VT-NH LMA, NH Portion (Hinsdale)</t>
  </si>
  <si>
    <t>Brattleboro VT-NH LMA</t>
  </si>
  <si>
    <t>Haverhill-Newburyport-Amesbury MA-NH NECTA Division</t>
  </si>
  <si>
    <t>337305</t>
  </si>
  <si>
    <t>338162</t>
  </si>
  <si>
    <t>338070</t>
  </si>
  <si>
    <t>338074</t>
  </si>
  <si>
    <t>508042</t>
  </si>
  <si>
    <t>000021</t>
  </si>
  <si>
    <t>000023</t>
  </si>
  <si>
    <t>000025</t>
  </si>
  <si>
    <t>000027</t>
  </si>
  <si>
    <t>000029</t>
  </si>
  <si>
    <t>000031</t>
  </si>
  <si>
    <t>000033</t>
  </si>
  <si>
    <t>000037</t>
  </si>
  <si>
    <t>000039</t>
  </si>
  <si>
    <t>000041</t>
  </si>
  <si>
    <t>000043</t>
  </si>
  <si>
    <t>000045</t>
  </si>
  <si>
    <t>000047</t>
  </si>
  <si>
    <t>000049</t>
  </si>
  <si>
    <t>000051</t>
  </si>
  <si>
    <t>000053</t>
  </si>
  <si>
    <t>000055</t>
  </si>
  <si>
    <t>New Hamsphire - Seasonally Adjusted</t>
  </si>
  <si>
    <t xml:space="preserve">Copy and Paste from LAUS Report in Excel. Insert New Hampshire Statewide Seasonally Adjusted and US Not Seasonally Adjusted and Seasonally Adjusted after New Hampshire Not Seasonally Adjusted. </t>
  </si>
  <si>
    <t xml:space="preserve">New Hampshire - Not Seasonally Adjusted         </t>
  </si>
  <si>
    <t>At bottom of table add Brattleboro VT-NH LMA and MA NECTA Divisions (Haverhill/Lawrence/Lowell)</t>
  </si>
  <si>
    <t>&lt; don’t change these cells!</t>
  </si>
  <si>
    <t>ROW</t>
  </si>
  <si>
    <t>START</t>
  </si>
  <si>
    <t>PICK</t>
  </si>
  <si>
    <t>LIST</t>
  </si>
  <si>
    <t>Salem Town, Lawrence-Methuen-Salem MA-NH NECTA Division, NH Portion</t>
  </si>
  <si>
    <t>Hinsdale Town, NH Portion, Brattleboro VT-NH LMA</t>
  </si>
  <si>
    <t>Pelham Town, NH Portion, Lowell-Billerica-Chelmsford MA-NH NECTA Division</t>
  </si>
  <si>
    <t>Seabrook-Hampstead Area, NH Portion, Haverhill-Newburyport-Amesbury MA-NH NECTA Division</t>
  </si>
  <si>
    <t>CHART DATA</t>
  </si>
  <si>
    <t>FORMULAS - DO NOT EDIT</t>
  </si>
  <si>
    <t>http://www.nhes.nh.gov/elmi/statistics/ces-data.htm</t>
  </si>
  <si>
    <t>http://www.nhes.nh.gov/elmi/statistics/laus-data.htm</t>
  </si>
  <si>
    <t>http://www.census.gov/construction/bps/</t>
  </si>
  <si>
    <t>http://www.nhes.nh.gov/elmi/statistics/claims-data.htm</t>
  </si>
  <si>
    <t>http://dataferrett.census.gov/</t>
  </si>
  <si>
    <t>http://www.nhes.nh.gov/elmi/statistics/qcew-data.htm</t>
  </si>
  <si>
    <t xml:space="preserve">PUBLISH INDUSTRY TITLE </t>
  </si>
  <si>
    <t>Series</t>
  </si>
  <si>
    <t>AE</t>
  </si>
  <si>
    <t>Over-The-Month</t>
  </si>
  <si>
    <t>Over-The-Year</t>
  </si>
  <si>
    <t>Code</t>
  </si>
  <si>
    <t>Change</t>
  </si>
  <si>
    <t>% Chng</t>
  </si>
  <si>
    <t>Total Nonfarm</t>
  </si>
  <si>
    <t>Goods Producing</t>
  </si>
  <si>
    <t>Service-Providing</t>
  </si>
  <si>
    <t>Private Service Providing</t>
  </si>
  <si>
    <t>Construction of Buildings</t>
  </si>
  <si>
    <t>20236000</t>
  </si>
  <si>
    <t>Specialty Trade Contractors</t>
  </si>
  <si>
    <t>20238000</t>
  </si>
  <si>
    <t>Durable Goods</t>
  </si>
  <si>
    <t>31000000</t>
  </si>
  <si>
    <t>Computer and Electronic Product Manufacturing</t>
  </si>
  <si>
    <t>31334000</t>
  </si>
  <si>
    <t>Navigational, Measuring, Electromedical, and Control Instruments Manufacturing</t>
  </si>
  <si>
    <t>31334500</t>
  </si>
  <si>
    <t>Non-Durable Goods</t>
  </si>
  <si>
    <t>32000000</t>
  </si>
  <si>
    <t>Merchant Wholesalers, Durable Goods</t>
  </si>
  <si>
    <t>41423000</t>
  </si>
  <si>
    <t>41425000</t>
  </si>
  <si>
    <t>42445000</t>
  </si>
  <si>
    <t>Department Stores</t>
  </si>
  <si>
    <t>Transportation, Warehousing, and Utilities</t>
  </si>
  <si>
    <t>43220000</t>
  </si>
  <si>
    <t>43400089</t>
  </si>
  <si>
    <t>55520000</t>
  </si>
  <si>
    <t>Insurance Carriers and Related Activities</t>
  </si>
  <si>
    <t>55524000</t>
  </si>
  <si>
    <t>55530000</t>
  </si>
  <si>
    <t>Professional and Business Services</t>
  </si>
  <si>
    <t>Professional, Scientific, and Technical Services</t>
  </si>
  <si>
    <t>60540000</t>
  </si>
  <si>
    <t>Management of Companies and Enterprises</t>
  </si>
  <si>
    <t>60550000</t>
  </si>
  <si>
    <t>Administrative and Support and Waste Management and Remediation Services</t>
  </si>
  <si>
    <t>60560000</t>
  </si>
  <si>
    <t>65610000</t>
  </si>
  <si>
    <t>65611300</t>
  </si>
  <si>
    <t>65620000</t>
  </si>
  <si>
    <t>Ambulatory Health Care Services</t>
  </si>
  <si>
    <t>65621000</t>
  </si>
  <si>
    <t>Hospitals</t>
  </si>
  <si>
    <t>65622000</t>
  </si>
  <si>
    <t>Leisure and Hospitality</t>
  </si>
  <si>
    <t>70710000</t>
  </si>
  <si>
    <t>Amusement, Gambling, and Recreation Industries</t>
  </si>
  <si>
    <t>70713000</t>
  </si>
  <si>
    <t>70720000</t>
  </si>
  <si>
    <t>Accommodation</t>
  </si>
  <si>
    <t>70721000</t>
  </si>
  <si>
    <t>Food Services and Drinking Places</t>
  </si>
  <si>
    <t>70722000</t>
  </si>
  <si>
    <t>Full-Service Restaurants</t>
  </si>
  <si>
    <t>70722511</t>
  </si>
  <si>
    <t>70722590</t>
  </si>
  <si>
    <t>Other Services</t>
  </si>
  <si>
    <t>90910000</t>
  </si>
  <si>
    <t>U.S. Postal Service</t>
  </si>
  <si>
    <t>90919120</t>
  </si>
  <si>
    <t>90920000</t>
  </si>
  <si>
    <t>State Government Educational Services</t>
  </si>
  <si>
    <t>90921611</t>
  </si>
  <si>
    <t>State Government Excluding Education</t>
  </si>
  <si>
    <t>90922000</t>
  </si>
  <si>
    <t>90930000</t>
  </si>
  <si>
    <t>Local Government Educational Services</t>
  </si>
  <si>
    <t>90931611</t>
  </si>
  <si>
    <t>Local Government excluding Educational Services</t>
  </si>
  <si>
    <t>90932000</t>
  </si>
  <si>
    <t>New Hampshire Nonfarm Employment - All Employees</t>
  </si>
  <si>
    <t>Dover-Durham NH-ME NECTA</t>
  </si>
  <si>
    <t>Mining, Logging and Construction</t>
  </si>
  <si>
    <t>Manchester NECTA</t>
  </si>
  <si>
    <t>Nashua NH-MA NECTA</t>
  </si>
  <si>
    <t>Portsmouth NH-ME NECTA</t>
  </si>
  <si>
    <t>Seasonally Adjusted</t>
  </si>
  <si>
    <t xml:space="preserve">Total Nonfarm </t>
  </si>
  <si>
    <t xml:space="preserve">Construction </t>
  </si>
  <si>
    <t xml:space="preserve">Manufacturing </t>
  </si>
  <si>
    <t xml:space="preserve">Durable Goods </t>
  </si>
  <si>
    <t xml:space="preserve">Non-Durable Goods </t>
  </si>
  <si>
    <t xml:space="preserve">Trade, Transportation, and Utilities </t>
  </si>
  <si>
    <t xml:space="preserve">Wholesale Trade </t>
  </si>
  <si>
    <t xml:space="preserve">Retail Trade </t>
  </si>
  <si>
    <t xml:space="preserve">Information </t>
  </si>
  <si>
    <t xml:space="preserve">Financial Activities </t>
  </si>
  <si>
    <t xml:space="preserve">Real Estate and Rental and Leasing </t>
  </si>
  <si>
    <t xml:space="preserve">Professional and Business Services </t>
  </si>
  <si>
    <t xml:space="preserve">Administrative and Support and Waste Management and Remediation Services </t>
  </si>
  <si>
    <t xml:space="preserve">Education and Health Services </t>
  </si>
  <si>
    <t xml:space="preserve">Educational Services </t>
  </si>
  <si>
    <t xml:space="preserve">Health Care and Social Assistance </t>
  </si>
  <si>
    <t xml:space="preserve">Leisure and Hospitality </t>
  </si>
  <si>
    <t xml:space="preserve">Arts, Entertainment, and Recreation </t>
  </si>
  <si>
    <t xml:space="preserve">Accommodation and Food Services </t>
  </si>
  <si>
    <t xml:space="preserve">Other Services </t>
  </si>
  <si>
    <t xml:space="preserve">Government </t>
  </si>
  <si>
    <t xml:space="preserve">Federal Government </t>
  </si>
  <si>
    <t xml:space="preserve">State Government </t>
  </si>
  <si>
    <t xml:space="preserve">Local Government </t>
  </si>
  <si>
    <t>Dover-Durham NH-ME Metro NECTA</t>
  </si>
  <si>
    <t>Haverhill-Newburyport-Amesbury MA-NH NECTA Div.</t>
  </si>
  <si>
    <t>FORMULAS -- DO NOT CHANGE!</t>
  </si>
  <si>
    <t>&lt;do not change these cells!</t>
  </si>
  <si>
    <t>calculate starting row based on geographic selection</t>
  </si>
  <si>
    <t>COPY/PASTE ENTIRE CES SPREADSHEETS  ON WEBSITE BY NSA/SA/NH Metro</t>
  </si>
  <si>
    <t>Educational and Health Services</t>
  </si>
  <si>
    <t>Goods-Producing</t>
  </si>
  <si>
    <t>Trade, Transportation and Utilities</t>
  </si>
  <si>
    <t>Durable Goods Manufacturing</t>
  </si>
  <si>
    <t>Transportation, Warehousing, &amp; Utilities</t>
  </si>
  <si>
    <t>Haverhill-Newburyport-Amesbury MA-NH-NECTA Division</t>
  </si>
  <si>
    <t>Data for MA Metro (Haverhill and Lowell) can be extracted from NHetwork</t>
  </si>
  <si>
    <t>OTM</t>
  </si>
  <si>
    <t>Pct.</t>
  </si>
  <si>
    <t>OTY</t>
  </si>
  <si>
    <t>calculated fields</t>
  </si>
  <si>
    <t>extract from NHetwork - select all series codes, current month/prior month/month year ago time periods</t>
  </si>
  <si>
    <t>sort by series codes</t>
  </si>
  <si>
    <t/>
  </si>
  <si>
    <t>sort</t>
  </si>
  <si>
    <t>T</t>
  </si>
  <si>
    <t>00</t>
  </si>
  <si>
    <t>P</t>
  </si>
  <si>
    <t>31</t>
  </si>
  <si>
    <t>44</t>
  </si>
  <si>
    <t>48</t>
  </si>
  <si>
    <t>G</t>
  </si>
  <si>
    <t>F</t>
  </si>
  <si>
    <t>S</t>
  </si>
  <si>
    <t>L</t>
  </si>
  <si>
    <t>12-Month Percent Change</t>
  </si>
  <si>
    <t>Mining, Logging, and Construction</t>
  </si>
  <si>
    <t>Series ID list in E18-E29</t>
  </si>
  <si>
    <t>Claremont NH MicroNECTA</t>
  </si>
  <si>
    <t>Expanded Claremont NH, estimating area</t>
  </si>
  <si>
    <t>Newport NH LMA</t>
  </si>
  <si>
    <t>Restaurants and Other Eating Places</t>
  </si>
  <si>
    <t>Updated:</t>
  </si>
  <si>
    <t>These tables are also not seasonally adjusted:</t>
  </si>
  <si>
    <t>suppress</t>
  </si>
  <si>
    <t>DO NOT CHANGE THE RED</t>
  </si>
  <si>
    <t>Coös</t>
  </si>
  <si>
    <t xml:space="preserve">Last Updated:      </t>
  </si>
  <si>
    <t xml:space="preserve">Last Updated:          </t>
  </si>
  <si>
    <t xml:space="preserve">Period:   </t>
  </si>
  <si>
    <t>2020 Q4</t>
  </si>
  <si>
    <t>2021 Q1</t>
  </si>
  <si>
    <t>Prev. Month</t>
  </si>
  <si>
    <t>Current Mo. Prev. Year</t>
  </si>
  <si>
    <t>2021 Q2</t>
  </si>
  <si>
    <t>2021 Q3</t>
  </si>
  <si>
    <t>`</t>
  </si>
  <si>
    <t>2021 Q4</t>
  </si>
  <si>
    <t>2022 Q1</t>
  </si>
  <si>
    <t>2022 Q2</t>
  </si>
  <si>
    <t>2022 Q3</t>
  </si>
  <si>
    <t>2022 Q4</t>
  </si>
  <si>
    <t>Private Education and Health Services</t>
  </si>
  <si>
    <t>Wholesale Trade Agents and Brokers</t>
  </si>
  <si>
    <t>Food and Beverage Retailers</t>
  </si>
  <si>
    <t>42455100</t>
  </si>
  <si>
    <t>Health and Personal Care Retailers</t>
  </si>
  <si>
    <t>42456000</t>
  </si>
  <si>
    <t>Publishing Industries</t>
  </si>
  <si>
    <t>50513000</t>
  </si>
  <si>
    <t>Private Educational Services</t>
  </si>
  <si>
    <t>Private Colleges, Universities, and Professional Schools</t>
  </si>
  <si>
    <t>70722500</t>
  </si>
  <si>
    <t>Limited-Service Restaurants and Other Eating Places</t>
  </si>
  <si>
    <t>2023 Q1</t>
  </si>
  <si>
    <t>2023 Q2</t>
  </si>
  <si>
    <t>n</t>
  </si>
  <si>
    <t>2023 Q3</t>
  </si>
  <si>
    <t xml:space="preserve">Check naics </t>
  </si>
  <si>
    <t>Chesire</t>
  </si>
  <si>
    <t>2023 Q4</t>
  </si>
  <si>
    <t>2024 Q1</t>
  </si>
  <si>
    <t>2024 Q2</t>
  </si>
  <si>
    <t>Sep-23</t>
  </si>
  <si>
    <t>Oct-23</t>
  </si>
  <si>
    <t>Nov-23</t>
  </si>
  <si>
    <t>Dec-23</t>
  </si>
  <si>
    <t>Jan-24</t>
  </si>
  <si>
    <t>Feb-24</t>
  </si>
  <si>
    <t>Mar-24</t>
  </si>
  <si>
    <t>Apr-24</t>
  </si>
  <si>
    <t>May-24</t>
  </si>
  <si>
    <t>Jun-24</t>
  </si>
  <si>
    <t>Jul-24</t>
  </si>
  <si>
    <t>Aug-24</t>
  </si>
  <si>
    <t>Sep-24</t>
  </si>
  <si>
    <t>Period:  September 2023 - September 2024</t>
  </si>
  <si>
    <t>Sept 2023 -Sept 2024</t>
  </si>
  <si>
    <t>Sept 2023 - Sept 2024</t>
  </si>
  <si>
    <t>Sep
2024</t>
  </si>
  <si>
    <t>Last Update:   10/10/2024</t>
  </si>
  <si>
    <t>For Period:    September 2024</t>
  </si>
  <si>
    <t>2024 Q1--&gt;</t>
  </si>
  <si>
    <t>1st Q 2023</t>
  </si>
  <si>
    <t>updated state 10/30/24</t>
  </si>
  <si>
    <t>2023 Q1 to 2024 Q1 Percent Change in Employment</t>
  </si>
  <si>
    <t>2023 Q1 to 2024 Q1 Percent Change in Ave. Weekly Wage</t>
  </si>
  <si>
    <t>updated county 10/30/24</t>
  </si>
  <si>
    <t>2024 Q3</t>
  </si>
  <si>
    <t>2020 Q4 - 2024 Q3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</si>
</sst>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4" formatCode="_(&quot;$&quot;* #,##0.00_);_(&quot;$&quot;* \(#,##0.00\);_(&quot;$&quot;* &quot;-&quot;??_);_(@_)"/>
    <numFmt numFmtId="43" formatCode="_(* #,##0.00_);_(* \(#,##0.00\);_(* &quot;-&quot;??_);_(@_)"/>
    <numFmt numFmtId="164" formatCode="&quot;$&quot;#,##0"/>
    <numFmt numFmtId="165" formatCode="0.0%"/>
    <numFmt numFmtId="166" formatCode="[$-409]mmm\-yy;@"/>
    <numFmt numFmtId="167" formatCode="0.0"/>
    <numFmt numFmtId="168" formatCode="#0.000"/>
    <numFmt numFmtId="169" formatCode="#0.0"/>
    <numFmt numFmtId="170" formatCode="0_)"/>
    <numFmt numFmtId="171" formatCode="&quot;$&quot;#,##0.00"/>
    <numFmt numFmtId="172" formatCode="#0"/>
    <numFmt numFmtId="173" formatCode="m/d;@"/>
    <numFmt numFmtId="174" formatCode="_(* #,##0_);_(* \(#,##0\);_(* &quot;-&quot;??_);_(@_)"/>
    <numFmt numFmtId="175" formatCode="mmmm\-yyyy"/>
    <numFmt numFmtId="176" formatCode="###,###,##0"/>
  </numFmts>
  <fonts count="73">
    <font>
      <sz val="10"/>
      <name val="Arial"/>
    </font>
    <font>
      <sz val="10"/>
      <name val="Arial"/>
      <family val="2"/>
    </font>
    <font>
      <sz val="8"/>
      <name val="Arial"/>
      <family val="2"/>
    </font>
    <font>
      <sz val="10"/>
      <name val="Arial Unicode MS"/>
      <family val="2"/>
    </font>
    <font>
      <b/>
      <sz val="9"/>
      <color indexed="9"/>
      <name val="Tahoma"/>
      <family val="2"/>
    </font>
    <font>
      <sz val="10"/>
      <name val="Tahoma"/>
      <family val="2"/>
    </font>
    <font>
      <sz val="14"/>
      <name val="Tahoma"/>
      <family val="2"/>
    </font>
    <font>
      <sz val="10"/>
      <name val="Calibri"/>
      <family val="2"/>
      <scheme val="minor"/>
    </font>
    <font>
      <b/>
      <sz val="16"/>
      <name val="Calibri"/>
      <family val="2"/>
      <scheme val="minor"/>
    </font>
    <font>
      <b/>
      <sz val="10"/>
      <name val="Calibri"/>
      <family val="2"/>
      <scheme val="minor"/>
    </font>
    <font>
      <b/>
      <sz val="12"/>
      <name val="Calibri"/>
      <family val="2"/>
      <scheme val="minor"/>
    </font>
    <font>
      <sz val="9"/>
      <name val="Calibri"/>
      <family val="2"/>
      <scheme val="minor"/>
    </font>
    <font>
      <b/>
      <sz val="9"/>
      <name val="Calibri"/>
      <family val="2"/>
      <scheme val="minor"/>
    </font>
    <font>
      <b/>
      <sz val="11"/>
      <name val="Calibri"/>
      <family val="2"/>
      <scheme val="minor"/>
    </font>
    <font>
      <sz val="14"/>
      <name val="Calibri"/>
      <family val="2"/>
      <scheme val="minor"/>
    </font>
    <font>
      <b/>
      <sz val="10"/>
      <color indexed="9"/>
      <name val="Calibri"/>
      <family val="2"/>
      <scheme val="minor"/>
    </font>
    <font>
      <b/>
      <sz val="9"/>
      <color indexed="9"/>
      <name val="Calibri"/>
      <family val="2"/>
      <scheme val="minor"/>
    </font>
    <font>
      <b/>
      <sz val="10"/>
      <color indexed="10"/>
      <name val="Calibri"/>
      <family val="2"/>
      <scheme val="minor"/>
    </font>
    <font>
      <b/>
      <sz val="10"/>
      <color indexed="8"/>
      <name val="Calibri"/>
      <family val="2"/>
      <scheme val="minor"/>
    </font>
    <font>
      <sz val="10"/>
      <color indexed="8"/>
      <name val="Calibri"/>
      <family val="2"/>
      <scheme val="minor"/>
    </font>
    <font>
      <sz val="10"/>
      <color indexed="9"/>
      <name val="Calibri"/>
      <family val="2"/>
      <scheme val="minor"/>
    </font>
    <font>
      <sz val="11"/>
      <color indexed="8"/>
      <name val="Calibri"/>
      <family val="2"/>
      <scheme val="minor"/>
    </font>
    <font>
      <sz val="10"/>
      <color indexed="8"/>
      <name val="Calibri"/>
      <family val="2"/>
    </font>
    <font>
      <sz val="10"/>
      <color indexed="81"/>
      <name val="Calibri"/>
      <family val="2"/>
      <scheme val="minor"/>
    </font>
    <font>
      <b/>
      <sz val="10"/>
      <color indexed="81"/>
      <name val="Calibri"/>
      <family val="2"/>
      <scheme val="minor"/>
    </font>
    <font>
      <b/>
      <sz val="10"/>
      <color theme="0"/>
      <name val="Calibri"/>
      <family val="2"/>
      <scheme val="minor"/>
    </font>
    <font>
      <sz val="10"/>
      <color rgb="FFFF0000"/>
      <name val="Calibri"/>
      <family val="2"/>
      <scheme val="minor"/>
    </font>
    <font>
      <sz val="10"/>
      <color rgb="FFC00000"/>
      <name val="Calibri"/>
      <family val="2"/>
      <scheme val="minor"/>
    </font>
    <font>
      <b/>
      <sz val="10"/>
      <color rgb="FFC00000"/>
      <name val="Calibri"/>
      <family val="2"/>
      <scheme val="minor"/>
    </font>
    <font>
      <i/>
      <sz val="10"/>
      <name val="Calibri"/>
      <family val="2"/>
      <scheme val="minor"/>
    </font>
    <font>
      <b/>
      <sz val="18"/>
      <color theme="3"/>
      <name val="Cambria"/>
      <family val="2"/>
      <scheme val="major"/>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0"/>
      <name val="Calibri"/>
      <family val="2"/>
    </font>
    <font>
      <sz val="9.1999999999999993"/>
      <name val="Tahoma"/>
      <family val="2"/>
    </font>
    <font>
      <b/>
      <sz val="10"/>
      <color indexed="9"/>
      <name val="Calibri"/>
      <family val="2"/>
    </font>
    <font>
      <sz val="10"/>
      <color indexed="8"/>
      <name val="Arial"/>
      <family val="2"/>
    </font>
    <font>
      <sz val="11"/>
      <name val="Verdana"/>
      <family val="2"/>
    </font>
    <font>
      <sz val="12"/>
      <color indexed="8"/>
      <name val="Arial"/>
      <family val="2"/>
    </font>
    <font>
      <b/>
      <sz val="12"/>
      <color indexed="8"/>
      <name val="Arial"/>
      <family val="2"/>
    </font>
    <font>
      <sz val="10"/>
      <color indexed="8"/>
      <name val="Arial"/>
      <family val="2"/>
    </font>
    <font>
      <b/>
      <sz val="10"/>
      <color indexed="8"/>
      <name val="Arial"/>
      <family val="2"/>
    </font>
    <font>
      <u/>
      <sz val="10"/>
      <color theme="10"/>
      <name val="Arial"/>
      <family val="2"/>
    </font>
    <font>
      <b/>
      <sz val="10"/>
      <color rgb="FFFF0000"/>
      <name val="Calibri"/>
      <family val="2"/>
      <scheme val="minor"/>
    </font>
    <font>
      <b/>
      <sz val="10"/>
      <color theme="1"/>
      <name val="Calibri"/>
      <family val="2"/>
      <scheme val="minor"/>
    </font>
    <font>
      <sz val="11"/>
      <name val="Calibri"/>
      <family val="2"/>
      <scheme val="minor"/>
    </font>
    <font>
      <sz val="11"/>
      <name val="Verdana"/>
      <family val="2"/>
    </font>
    <font>
      <b/>
      <sz val="10"/>
      <color rgb="FFFFFF00"/>
      <name val="Calibri"/>
      <family val="2"/>
      <scheme val="minor"/>
    </font>
    <font>
      <b/>
      <sz val="11"/>
      <color indexed="8"/>
      <name val="Calibri"/>
      <family val="2"/>
      <scheme val="minor"/>
    </font>
    <font>
      <sz val="10"/>
      <name val="Arial"/>
      <family val="2"/>
    </font>
    <font>
      <sz val="10"/>
      <color theme="1"/>
      <name val="Calibri"/>
      <family val="2"/>
    </font>
    <font>
      <sz val="10"/>
      <name val="Arial"/>
      <family val="2"/>
    </font>
    <font>
      <b/>
      <sz val="9"/>
      <color rgb="FFFF0000"/>
      <name val="Calibri"/>
      <family val="2"/>
      <scheme val="minor"/>
    </font>
    <font>
      <b/>
      <sz val="11"/>
      <color rgb="FFFF0000"/>
      <name val="Calibri"/>
      <family val="2"/>
      <scheme val="minor"/>
    </font>
    <font>
      <b/>
      <i/>
      <sz val="10"/>
      <color theme="1"/>
      <name val="Calibri"/>
      <family val="2"/>
      <scheme val="minor"/>
    </font>
    <font>
      <b/>
      <sz val="10"/>
      <color rgb="FFFFFF00"/>
      <name val="Arial"/>
      <family val="2"/>
    </font>
    <font>
      <b/>
      <sz val="10"/>
      <color indexed="9"/>
      <name val="Arial"/>
      <family val="2"/>
    </font>
    <font>
      <sz val="10"/>
      <name val="Verdana"/>
      <family val="2"/>
    </font>
    <font>
      <sz val="11"/>
      <color indexed="8"/>
      <name val="Calibri"/>
      <family val="2"/>
    </font>
  </fonts>
  <fills count="54">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indexed="52"/>
        <bgColor indexed="64"/>
      </patternFill>
    </fill>
    <fill>
      <patternFill patternType="solid">
        <fgColor indexed="51"/>
        <bgColor indexed="64"/>
      </patternFill>
    </fill>
    <fill>
      <patternFill patternType="solid">
        <fgColor indexed="12"/>
        <bgColor indexed="64"/>
      </patternFill>
    </fill>
    <fill>
      <patternFill patternType="solid">
        <fgColor indexed="41"/>
        <bgColor indexed="64"/>
      </patternFill>
    </fill>
    <fill>
      <patternFill patternType="solid">
        <fgColor indexed="47"/>
        <bgColor indexed="64"/>
      </patternFill>
    </fill>
    <fill>
      <patternFill patternType="solid">
        <fgColor indexed="22"/>
        <bgColor indexed="64"/>
      </patternFill>
    </fill>
    <fill>
      <patternFill patternType="solid">
        <fgColor indexed="62"/>
        <bgColor indexed="64"/>
      </patternFill>
    </fill>
    <fill>
      <patternFill patternType="solid">
        <fgColor rgb="FFFFFF00"/>
        <bgColor indexed="64"/>
      </patternFill>
    </fill>
    <fill>
      <patternFill patternType="solid">
        <fgColor rgb="FFFF0000"/>
        <bgColor indexed="64"/>
      </patternFill>
    </fill>
    <fill>
      <patternFill patternType="solid">
        <fgColor theme="5" tint="0.79998168889431442"/>
        <bgColor indexed="64"/>
      </patternFill>
    </fill>
    <fill>
      <patternFill patternType="solid">
        <fgColor indexed="18"/>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5050"/>
        <bgColor indexed="64"/>
      </patternFill>
    </fill>
    <fill>
      <patternFill patternType="solid">
        <fgColor rgb="FFFFFF99"/>
        <bgColor indexed="64"/>
      </patternFill>
    </fill>
    <fill>
      <patternFill patternType="solid">
        <fgColor rgb="FFFF5050"/>
        <bgColor indexed="9"/>
      </patternFill>
    </fill>
    <fill>
      <patternFill patternType="solid">
        <fgColor theme="2" tint="-0.24994659260841701"/>
        <bgColor indexed="64"/>
      </patternFill>
    </fill>
    <fill>
      <patternFill patternType="solid">
        <fgColor theme="2" tint="-9.9948118533890809E-2"/>
        <bgColor indexed="64"/>
      </patternFill>
    </fill>
    <fill>
      <patternFill patternType="solid">
        <fgColor rgb="FFDDD9C4"/>
        <bgColor indexed="64"/>
      </patternFill>
    </fill>
    <fill>
      <patternFill patternType="solid">
        <fgColor indexed="9"/>
        <bgColor indexed="64"/>
      </patternFill>
    </fill>
    <fill>
      <patternFill patternType="solid">
        <fgColor theme="6" tint="0.59996337778862885"/>
        <bgColor indexed="64"/>
      </patternFill>
    </fill>
  </fills>
  <borders count="34">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ck">
        <color indexed="64"/>
      </bottom>
      <diagonal/>
    </border>
    <border>
      <left/>
      <right/>
      <top style="thin">
        <color indexed="22"/>
      </top>
      <bottom style="thin">
        <color indexed="22"/>
      </bottom>
      <diagonal/>
    </border>
    <border>
      <left style="medium">
        <color indexed="9"/>
      </left>
      <right style="medium">
        <color indexed="9"/>
      </right>
      <top/>
      <bottom/>
      <diagonal/>
    </border>
    <border>
      <left style="medium">
        <color indexed="9"/>
      </left>
      <right/>
      <top/>
      <bottom/>
      <diagonal/>
    </border>
    <border>
      <left/>
      <right style="medium">
        <color indexed="9"/>
      </right>
      <top/>
      <bottom/>
      <diagonal/>
    </border>
    <border>
      <left/>
      <right/>
      <top/>
      <bottom style="thin">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0" tint="-4.9989318521683403E-2"/>
      </top>
      <bottom style="thin">
        <color theme="0" tint="-4.9989318521683403E-2"/>
      </bottom>
      <diagonal/>
    </border>
    <border>
      <left/>
      <right style="thin">
        <color indexed="64"/>
      </right>
      <top style="thin">
        <color indexed="64"/>
      </top>
      <bottom/>
      <diagonal/>
    </border>
    <border>
      <left/>
      <right/>
      <top style="thin">
        <color theme="0" tint="-0.14996795556505021"/>
      </top>
      <bottom style="thin">
        <color theme="0" tint="-0.1499679555650502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theme="0" tint="-4.9989318521683403E-2"/>
      </bottom>
      <diagonal/>
    </border>
  </borders>
  <cellStyleXfs count="53">
    <xf numFmtId="0" fontId="0" fillId="0" borderId="0"/>
    <xf numFmtId="9" fontId="1" fillId="0" borderId="0" applyFont="0" applyFill="0" applyBorder="0" applyAlignment="0" applyProtection="0"/>
    <xf numFmtId="0" fontId="21" fillId="0" borderId="0"/>
    <xf numFmtId="0" fontId="1" fillId="0" borderId="0"/>
    <xf numFmtId="0" fontId="30" fillId="0" borderId="0" applyNumberFormat="0" applyFill="0" applyBorder="0" applyAlignment="0" applyProtection="0"/>
    <xf numFmtId="0" fontId="31" fillId="0" borderId="0"/>
    <xf numFmtId="0" fontId="32" fillId="0" borderId="19" applyNumberFormat="0" applyFill="0" applyAlignment="0" applyProtection="0"/>
    <xf numFmtId="0" fontId="33" fillId="0" borderId="20" applyNumberFormat="0" applyFill="0" applyAlignment="0" applyProtection="0"/>
    <xf numFmtId="0" fontId="34" fillId="0" borderId="21" applyNumberFormat="0" applyFill="0" applyAlignment="0" applyProtection="0"/>
    <xf numFmtId="0" fontId="34" fillId="0" borderId="0" applyNumberFormat="0" applyFill="0" applyBorder="0" applyAlignment="0" applyProtection="0"/>
    <xf numFmtId="0" fontId="35" fillId="15" borderId="0" applyNumberFormat="0" applyBorder="0" applyAlignment="0" applyProtection="0"/>
    <xf numFmtId="0" fontId="36" fillId="16" borderId="0" applyNumberFormat="0" applyBorder="0" applyAlignment="0" applyProtection="0"/>
    <xf numFmtId="0" fontId="37" fillId="17" borderId="0" applyNumberFormat="0" applyBorder="0" applyAlignment="0" applyProtection="0"/>
    <xf numFmtId="0" fontId="38" fillId="18" borderId="22" applyNumberFormat="0" applyAlignment="0" applyProtection="0"/>
    <xf numFmtId="0" fontId="39" fillId="19" borderId="23" applyNumberFormat="0" applyAlignment="0" applyProtection="0"/>
    <xf numFmtId="0" fontId="40" fillId="19" borderId="22" applyNumberFormat="0" applyAlignment="0" applyProtection="0"/>
    <xf numFmtId="0" fontId="41" fillId="0" borderId="24" applyNumberFormat="0" applyFill="0" applyAlignment="0" applyProtection="0"/>
    <xf numFmtId="0" fontId="42" fillId="20" borderId="25" applyNumberFormat="0" applyAlignment="0" applyProtection="0"/>
    <xf numFmtId="0" fontId="43" fillId="0" borderId="0" applyNumberFormat="0" applyFill="0" applyBorder="0" applyAlignment="0" applyProtection="0"/>
    <xf numFmtId="0" fontId="31" fillId="21" borderId="26" applyNumberFormat="0" applyFont="0" applyAlignment="0" applyProtection="0"/>
    <xf numFmtId="0" fontId="44" fillId="0" borderId="0" applyNumberFormat="0" applyFill="0" applyBorder="0" applyAlignment="0" applyProtection="0"/>
    <xf numFmtId="0" fontId="45" fillId="0" borderId="27" applyNumberFormat="0" applyFill="0" applyAlignment="0" applyProtection="0"/>
    <xf numFmtId="0" fontId="46" fillId="22" borderId="0" applyNumberFormat="0" applyBorder="0" applyAlignment="0" applyProtection="0"/>
    <xf numFmtId="0" fontId="31" fillId="23" borderId="0" applyNumberFormat="0" applyBorder="0" applyAlignment="0" applyProtection="0"/>
    <xf numFmtId="0" fontId="31" fillId="24"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46" fillId="33" borderId="0" applyNumberFormat="0" applyBorder="0" applyAlignment="0" applyProtection="0"/>
    <xf numFmtId="0" fontId="46" fillId="34" borderId="0" applyNumberFormat="0" applyBorder="0" applyAlignment="0" applyProtection="0"/>
    <xf numFmtId="0" fontId="31" fillId="35" borderId="0" applyNumberFormat="0" applyBorder="0" applyAlignment="0" applyProtection="0"/>
    <xf numFmtId="0" fontId="31" fillId="36" borderId="0" applyNumberFormat="0" applyBorder="0" applyAlignment="0" applyProtection="0"/>
    <xf numFmtId="0" fontId="46" fillId="37" borderId="0" applyNumberFormat="0" applyBorder="0" applyAlignment="0" applyProtection="0"/>
    <xf numFmtId="0" fontId="46" fillId="38" borderId="0" applyNumberFormat="0" applyBorder="0" applyAlignment="0" applyProtection="0"/>
    <xf numFmtId="0" fontId="31" fillId="39" borderId="0" applyNumberFormat="0" applyBorder="0" applyAlignment="0" applyProtection="0"/>
    <xf numFmtId="0" fontId="31" fillId="40" borderId="0" applyNumberFormat="0" applyBorder="0" applyAlignment="0" applyProtection="0"/>
    <xf numFmtId="0" fontId="46" fillId="41" borderId="0" applyNumberFormat="0" applyBorder="0" applyAlignment="0" applyProtection="0"/>
    <xf numFmtId="0" fontId="46" fillId="42" borderId="0" applyNumberFormat="0" applyBorder="0" applyAlignment="0" applyProtection="0"/>
    <xf numFmtId="0" fontId="31" fillId="43" borderId="0" applyNumberFormat="0" applyBorder="0" applyAlignment="0" applyProtection="0"/>
    <xf numFmtId="0" fontId="31" fillId="44" borderId="0" applyNumberFormat="0" applyBorder="0" applyAlignment="0" applyProtection="0"/>
    <xf numFmtId="0" fontId="46" fillId="45" borderId="0" applyNumberFormat="0" applyBorder="0" applyAlignment="0" applyProtection="0"/>
    <xf numFmtId="170" fontId="51" fillId="0" borderId="0"/>
    <xf numFmtId="0" fontId="56" fillId="0" borderId="0" applyNumberFormat="0" applyFill="0" applyBorder="0" applyAlignment="0" applyProtection="0"/>
    <xf numFmtId="170" fontId="60" fillId="0" borderId="0"/>
    <xf numFmtId="43" fontId="31" fillId="0" borderId="0" applyFont="0" applyFill="0" applyBorder="0" applyAlignment="0" applyProtection="0"/>
    <xf numFmtId="0" fontId="1" fillId="0" borderId="0"/>
    <xf numFmtId="9" fontId="63" fillId="0" borderId="0" applyFont="0" applyFill="0" applyBorder="0" applyAlignment="0" applyProtection="0"/>
    <xf numFmtId="44" fontId="65" fillId="0" borderId="0" applyFont="0" applyFill="0" applyBorder="0" applyAlignment="0" applyProtection="0"/>
  </cellStyleXfs>
  <cellXfs count="405">
    <xf numFmtId="0" fontId="0" fillId="0" borderId="0" xfId="0"/>
    <xf numFmtId="0" fontId="5" fillId="0" borderId="0" xfId="0" applyFont="1"/>
    <xf numFmtId="3" fontId="0" fillId="0" borderId="0" xfId="0" applyNumberFormat="1"/>
    <xf numFmtId="17" fontId="0" fillId="0" borderId="0" xfId="0" applyNumberFormat="1"/>
    <xf numFmtId="0" fontId="6" fillId="0" borderId="0" xfId="0" applyFont="1"/>
    <xf numFmtId="0" fontId="5" fillId="0" borderId="0" xfId="0" applyFont="1" applyAlignment="1">
      <alignment vertical="center"/>
    </xf>
    <xf numFmtId="0" fontId="4" fillId="0" borderId="0" xfId="0" applyFont="1" applyAlignment="1">
      <alignment horizontal="left"/>
    </xf>
    <xf numFmtId="0" fontId="7" fillId="0" borderId="0" xfId="0" applyFont="1"/>
    <xf numFmtId="0" fontId="8" fillId="0" borderId="0" xfId="0" applyFont="1"/>
    <xf numFmtId="0" fontId="7" fillId="0" borderId="0" xfId="0" applyFont="1" applyAlignment="1">
      <alignment horizontal="right"/>
    </xf>
    <xf numFmtId="14" fontId="7" fillId="0" borderId="0" xfId="0" applyNumberFormat="1" applyFont="1" applyAlignment="1">
      <alignment horizontal="center"/>
    </xf>
    <xf numFmtId="0" fontId="7" fillId="0" borderId="0" xfId="0" applyFont="1" applyAlignment="1">
      <alignment horizontal="left" vertical="top"/>
    </xf>
    <xf numFmtId="0" fontId="9" fillId="0" borderId="0" xfId="0" applyFont="1" applyAlignment="1">
      <alignment horizontal="left" vertical="top"/>
    </xf>
    <xf numFmtId="166" fontId="7" fillId="0" borderId="2" xfId="0" applyNumberFormat="1" applyFont="1" applyBorder="1" applyAlignment="1">
      <alignment horizontal="center"/>
    </xf>
    <xf numFmtId="3" fontId="7" fillId="0" borderId="0" xfId="0" applyNumberFormat="1" applyFont="1"/>
    <xf numFmtId="165" fontId="7" fillId="0" borderId="0" xfId="0" applyNumberFormat="1" applyFont="1"/>
    <xf numFmtId="0" fontId="7" fillId="0" borderId="2" xfId="0" applyFont="1" applyBorder="1"/>
    <xf numFmtId="0" fontId="7" fillId="0" borderId="3" xfId="0" applyFont="1" applyBorder="1"/>
    <xf numFmtId="166" fontId="7" fillId="0" borderId="4" xfId="0" applyNumberFormat="1" applyFont="1" applyBorder="1" applyAlignment="1">
      <alignment horizontal="center"/>
    </xf>
    <xf numFmtId="3" fontId="7" fillId="0" borderId="1" xfId="0" applyNumberFormat="1" applyFont="1" applyBorder="1"/>
    <xf numFmtId="0" fontId="7" fillId="0" borderId="4" xfId="0" applyFont="1" applyBorder="1"/>
    <xf numFmtId="0" fontId="7" fillId="0" borderId="1" xfId="0" applyFont="1" applyBorder="1"/>
    <xf numFmtId="0" fontId="7" fillId="0" borderId="5" xfId="0" applyFont="1" applyBorder="1"/>
    <xf numFmtId="166" fontId="7" fillId="0" borderId="0" xfId="0" applyNumberFormat="1" applyFont="1" applyAlignment="1">
      <alignment horizontal="left"/>
    </xf>
    <xf numFmtId="0" fontId="7" fillId="0" borderId="7" xfId="0" applyFont="1" applyBorder="1"/>
    <xf numFmtId="3" fontId="7" fillId="0" borderId="0" xfId="0" applyNumberFormat="1" applyFont="1" applyAlignment="1">
      <alignment horizontal="right"/>
    </xf>
    <xf numFmtId="3" fontId="7" fillId="0" borderId="1" xfId="0" applyNumberFormat="1" applyFont="1" applyBorder="1" applyAlignment="1">
      <alignment horizontal="right"/>
    </xf>
    <xf numFmtId="0" fontId="10" fillId="0" borderId="0" xfId="0" applyFont="1" applyAlignment="1">
      <alignment horizontal="left" vertical="center" indent="1"/>
    </xf>
    <xf numFmtId="0" fontId="7" fillId="0" borderId="0" xfId="0" applyFont="1" applyAlignment="1">
      <alignment horizontal="center"/>
    </xf>
    <xf numFmtId="17" fontId="9" fillId="0" borderId="2" xfId="0" applyNumberFormat="1" applyFont="1" applyBorder="1" applyAlignment="1">
      <alignment horizontal="left" indent="1"/>
    </xf>
    <xf numFmtId="0" fontId="7" fillId="0" borderId="4" xfId="0" applyFont="1" applyBorder="1" applyAlignment="1">
      <alignment horizontal="left" indent="1"/>
    </xf>
    <xf numFmtId="0" fontId="8" fillId="0" borderId="7" xfId="0" applyFont="1" applyBorder="1"/>
    <xf numFmtId="0" fontId="7" fillId="0" borderId="7" xfId="0" applyFont="1" applyBorder="1" applyAlignment="1">
      <alignment horizontal="right"/>
    </xf>
    <xf numFmtId="14" fontId="7" fillId="0" borderId="7" xfId="0" applyNumberFormat="1" applyFont="1" applyBorder="1"/>
    <xf numFmtId="14" fontId="7" fillId="0" borderId="0" xfId="0" applyNumberFormat="1" applyFont="1"/>
    <xf numFmtId="0" fontId="9" fillId="0" borderId="0" xfId="0" applyFont="1" applyAlignment="1">
      <alignment horizontal="center"/>
    </xf>
    <xf numFmtId="17" fontId="7" fillId="0" borderId="2" xfId="0" applyNumberFormat="1" applyFont="1" applyBorder="1" applyAlignment="1">
      <alignment horizontal="center"/>
    </xf>
    <xf numFmtId="3" fontId="7" fillId="0" borderId="3" xfId="0" applyNumberFormat="1" applyFont="1" applyBorder="1" applyAlignment="1">
      <alignment horizontal="right"/>
    </xf>
    <xf numFmtId="17" fontId="7" fillId="0" borderId="4" xfId="0" applyNumberFormat="1" applyFont="1" applyBorder="1" applyAlignment="1">
      <alignment horizontal="center"/>
    </xf>
    <xf numFmtId="3" fontId="7" fillId="0" borderId="5" xfId="0" applyNumberFormat="1" applyFont="1" applyBorder="1" applyAlignment="1">
      <alignment horizontal="right"/>
    </xf>
    <xf numFmtId="0" fontId="14" fillId="0" borderId="0" xfId="0" applyFont="1"/>
    <xf numFmtId="0" fontId="7" fillId="0" borderId="0" xfId="0" applyFont="1" applyAlignment="1">
      <alignment vertical="center"/>
    </xf>
    <xf numFmtId="0" fontId="9" fillId="0" borderId="2" xfId="0" applyFont="1" applyBorder="1" applyAlignment="1">
      <alignment horizontal="left"/>
    </xf>
    <xf numFmtId="164" fontId="7" fillId="0" borderId="0" xfId="0" applyNumberFormat="1" applyFont="1"/>
    <xf numFmtId="164" fontId="7" fillId="0" borderId="3" xfId="0" applyNumberFormat="1" applyFont="1" applyBorder="1"/>
    <xf numFmtId="164" fontId="7" fillId="0" borderId="0" xfId="0" applyNumberFormat="1" applyFont="1" applyAlignment="1">
      <alignment horizontal="right"/>
    </xf>
    <xf numFmtId="0" fontId="7" fillId="0" borderId="2" xfId="0" applyFont="1" applyBorder="1" applyAlignment="1">
      <alignment horizontal="left" indent="1"/>
    </xf>
    <xf numFmtId="167" fontId="7" fillId="0" borderId="0" xfId="0" applyNumberFormat="1" applyFont="1"/>
    <xf numFmtId="167" fontId="7" fillId="0" borderId="3" xfId="0" applyNumberFormat="1" applyFont="1" applyBorder="1"/>
    <xf numFmtId="0" fontId="9" fillId="0" borderId="6" xfId="0" applyFont="1" applyBorder="1"/>
    <xf numFmtId="164" fontId="7" fillId="0" borderId="7" xfId="0" applyNumberFormat="1" applyFont="1" applyBorder="1"/>
    <xf numFmtId="164" fontId="7" fillId="0" borderId="8" xfId="0" applyNumberFormat="1" applyFont="1" applyBorder="1"/>
    <xf numFmtId="3" fontId="7" fillId="0" borderId="3" xfId="0" applyNumberFormat="1" applyFont="1" applyBorder="1"/>
    <xf numFmtId="16" fontId="7" fillId="0" borderId="2" xfId="0" quotePrefix="1" applyNumberFormat="1" applyFont="1" applyBorder="1" applyAlignment="1">
      <alignment horizontal="left" indent="1"/>
    </xf>
    <xf numFmtId="3" fontId="7" fillId="0" borderId="5" xfId="0" applyNumberFormat="1" applyFont="1" applyBorder="1"/>
    <xf numFmtId="0" fontId="9" fillId="0" borderId="6" xfId="0" applyFont="1" applyBorder="1" applyAlignment="1">
      <alignment horizontal="left"/>
    </xf>
    <xf numFmtId="0" fontId="9" fillId="0" borderId="0" xfId="0" applyFont="1" applyAlignment="1">
      <alignment horizontal="left"/>
    </xf>
    <xf numFmtId="3" fontId="9" fillId="0" borderId="7" xfId="0" applyNumberFormat="1" applyFont="1" applyBorder="1" applyAlignment="1">
      <alignment horizontal="right" indent="2"/>
    </xf>
    <xf numFmtId="0" fontId="9" fillId="0" borderId="0" xfId="0" applyFont="1"/>
    <xf numFmtId="3" fontId="9" fillId="0" borderId="0" xfId="0" applyNumberFormat="1" applyFont="1" applyAlignment="1">
      <alignment horizontal="right" indent="2"/>
    </xf>
    <xf numFmtId="164" fontId="9" fillId="0" borderId="3" xfId="0" applyNumberFormat="1" applyFont="1" applyBorder="1" applyAlignment="1">
      <alignment horizontal="right"/>
    </xf>
    <xf numFmtId="164" fontId="9" fillId="0" borderId="2" xfId="0" applyNumberFormat="1" applyFont="1" applyBorder="1" applyAlignment="1">
      <alignment horizontal="right" indent="2"/>
    </xf>
    <xf numFmtId="0" fontId="9" fillId="0" borderId="2" xfId="0" applyFont="1" applyBorder="1" applyAlignment="1">
      <alignment horizontal="left" indent="1"/>
    </xf>
    <xf numFmtId="0" fontId="9" fillId="0" borderId="0" xfId="0" applyFont="1" applyAlignment="1">
      <alignment horizontal="left" indent="1"/>
    </xf>
    <xf numFmtId="0" fontId="9" fillId="0" borderId="2" xfId="0" applyFont="1" applyBorder="1" applyAlignment="1">
      <alignment horizontal="left" indent="2"/>
    </xf>
    <xf numFmtId="0" fontId="9" fillId="0" borderId="0" xfId="0" applyFont="1" applyAlignment="1">
      <alignment horizontal="left" indent="2"/>
    </xf>
    <xf numFmtId="0" fontId="7" fillId="0" borderId="2" xfId="0" applyFont="1" applyBorder="1" applyAlignment="1">
      <alignment horizontal="left" indent="3"/>
    </xf>
    <xf numFmtId="0" fontId="7" fillId="0" borderId="0" xfId="0" applyFont="1" applyAlignment="1">
      <alignment horizontal="left" indent="3"/>
    </xf>
    <xf numFmtId="3" fontId="7" fillId="0" borderId="0" xfId="0" applyNumberFormat="1" applyFont="1" applyAlignment="1">
      <alignment horizontal="right" indent="2"/>
    </xf>
    <xf numFmtId="164" fontId="7" fillId="0" borderId="3" xfId="0" applyNumberFormat="1" applyFont="1" applyBorder="1" applyAlignment="1">
      <alignment horizontal="right"/>
    </xf>
    <xf numFmtId="164" fontId="7" fillId="0" borderId="2" xfId="0" applyNumberFormat="1" applyFont="1" applyBorder="1" applyAlignment="1">
      <alignment horizontal="right" indent="2"/>
    </xf>
    <xf numFmtId="164" fontId="7" fillId="0" borderId="4" xfId="0" applyNumberFormat="1" applyFont="1" applyBorder="1" applyAlignment="1">
      <alignment horizontal="right" indent="2"/>
    </xf>
    <xf numFmtId="0" fontId="7" fillId="0" borderId="2" xfId="0" applyFont="1" applyBorder="1" applyAlignment="1">
      <alignment horizontal="left" indent="2"/>
    </xf>
    <xf numFmtId="0" fontId="7" fillId="0" borderId="0" xfId="0" applyFont="1" applyAlignment="1">
      <alignment horizontal="left" indent="2"/>
    </xf>
    <xf numFmtId="0" fontId="7" fillId="0" borderId="4" xfId="0" applyFont="1" applyBorder="1" applyAlignment="1">
      <alignment horizontal="left" indent="2"/>
    </xf>
    <xf numFmtId="0" fontId="7" fillId="0" borderId="1" xfId="0" applyFont="1" applyBorder="1" applyAlignment="1">
      <alignment horizontal="left" indent="2"/>
    </xf>
    <xf numFmtId="3" fontId="7" fillId="0" borderId="1" xfId="0" applyNumberFormat="1" applyFont="1" applyBorder="1" applyAlignment="1">
      <alignment horizontal="right" indent="2"/>
    </xf>
    <xf numFmtId="164" fontId="7" fillId="0" borderId="5" xfId="0" applyNumberFormat="1" applyFont="1" applyBorder="1" applyAlignment="1">
      <alignment horizontal="right"/>
    </xf>
    <xf numFmtId="0" fontId="15" fillId="0" borderId="0" xfId="0" applyFont="1"/>
    <xf numFmtId="0" fontId="16" fillId="0" borderId="0" xfId="0" applyFont="1" applyAlignment="1">
      <alignment horizontal="left"/>
    </xf>
    <xf numFmtId="0" fontId="10" fillId="0" borderId="1" xfId="0" applyFont="1" applyBorder="1" applyAlignment="1">
      <alignment horizontal="left" vertical="center"/>
    </xf>
    <xf numFmtId="0" fontId="7" fillId="3" borderId="0" xfId="0" applyFont="1" applyFill="1"/>
    <xf numFmtId="0" fontId="7" fillId="8" borderId="0" xfId="0" applyFont="1" applyFill="1"/>
    <xf numFmtId="0" fontId="7" fillId="0" borderId="0" xfId="0" applyFont="1" applyAlignment="1">
      <alignment horizontal="left"/>
    </xf>
    <xf numFmtId="0" fontId="7" fillId="0" borderId="0" xfId="0" quotePrefix="1" applyFont="1" applyAlignment="1">
      <alignment horizontal="left"/>
    </xf>
    <xf numFmtId="16" fontId="7" fillId="0" borderId="0" xfId="0" quotePrefix="1" applyNumberFormat="1" applyFont="1"/>
    <xf numFmtId="0" fontId="7" fillId="0" borderId="0" xfId="0" quotePrefix="1" applyFont="1"/>
    <xf numFmtId="17" fontId="7" fillId="0" borderId="0" xfId="0" applyNumberFormat="1" applyFont="1"/>
    <xf numFmtId="165" fontId="7" fillId="0" borderId="12" xfId="0" applyNumberFormat="1" applyFont="1" applyBorder="1" applyAlignment="1">
      <alignment wrapText="1"/>
    </xf>
    <xf numFmtId="0" fontId="18" fillId="0" borderId="0" xfId="0" applyFont="1" applyAlignment="1">
      <alignment horizontal="left"/>
    </xf>
    <xf numFmtId="169" fontId="19" fillId="0" borderId="0" xfId="0" applyNumberFormat="1" applyFont="1" applyAlignment="1">
      <alignment horizontal="right"/>
    </xf>
    <xf numFmtId="165" fontId="7" fillId="0" borderId="0" xfId="1" applyNumberFormat="1" applyFont="1"/>
    <xf numFmtId="0" fontId="7" fillId="4" borderId="0" xfId="0" applyFont="1" applyFill="1"/>
    <xf numFmtId="0" fontId="7" fillId="5" borderId="0" xfId="0" applyFont="1" applyFill="1"/>
    <xf numFmtId="17" fontId="7" fillId="5" borderId="0" xfId="0" applyNumberFormat="1" applyFont="1" applyFill="1"/>
    <xf numFmtId="0" fontId="7" fillId="6" borderId="0" xfId="0" applyFont="1" applyFill="1"/>
    <xf numFmtId="0" fontId="15" fillId="4" borderId="0" xfId="0" applyFont="1" applyFill="1"/>
    <xf numFmtId="0" fontId="7" fillId="7" borderId="0" xfId="0" applyFont="1" applyFill="1"/>
    <xf numFmtId="0" fontId="9" fillId="0" borderId="0" xfId="0" applyFont="1" applyAlignment="1">
      <alignment horizontal="right"/>
    </xf>
    <xf numFmtId="0" fontId="9" fillId="8" borderId="0" xfId="0" applyFont="1" applyFill="1" applyAlignment="1">
      <alignment horizontal="left"/>
    </xf>
    <xf numFmtId="0" fontId="9" fillId="0" borderId="0" xfId="0" quotePrefix="1" applyFont="1" applyAlignment="1">
      <alignment horizontal="left"/>
    </xf>
    <xf numFmtId="0" fontId="9" fillId="4" borderId="0" xfId="0" applyFont="1" applyFill="1" applyAlignment="1">
      <alignment horizontal="right"/>
    </xf>
    <xf numFmtId="165" fontId="7" fillId="4" borderId="0" xfId="0" applyNumberFormat="1" applyFont="1" applyFill="1"/>
    <xf numFmtId="0" fontId="7" fillId="0" borderId="2" xfId="0" quotePrefix="1" applyFont="1" applyBorder="1"/>
    <xf numFmtId="0" fontId="3" fillId="0" borderId="0" xfId="0" applyFont="1" applyAlignment="1">
      <alignment vertical="center"/>
    </xf>
    <xf numFmtId="169" fontId="7" fillId="0" borderId="0" xfId="0" applyNumberFormat="1" applyFont="1"/>
    <xf numFmtId="0" fontId="7" fillId="12" borderId="0" xfId="0" applyFont="1" applyFill="1"/>
    <xf numFmtId="0" fontId="7" fillId="11" borderId="0" xfId="0" applyFont="1" applyFill="1"/>
    <xf numFmtId="0" fontId="7" fillId="12" borderId="0" xfId="0" applyFont="1" applyFill="1" applyAlignment="1">
      <alignment horizontal="center"/>
    </xf>
    <xf numFmtId="0" fontId="7" fillId="0" borderId="0" xfId="0" quotePrefix="1" applyFont="1" applyAlignment="1">
      <alignment horizontal="right"/>
    </xf>
    <xf numFmtId="0" fontId="19" fillId="0" borderId="0" xfId="0" applyFont="1"/>
    <xf numFmtId="170" fontId="20" fillId="10" borderId="0" xfId="0" applyNumberFormat="1" applyFont="1" applyFill="1"/>
    <xf numFmtId="37" fontId="19" fillId="0" borderId="0" xfId="0" applyNumberFormat="1" applyFont="1"/>
    <xf numFmtId="165" fontId="19" fillId="0" borderId="0" xfId="0" applyNumberFormat="1" applyFont="1"/>
    <xf numFmtId="14" fontId="7" fillId="0" borderId="0" xfId="0" quotePrefix="1" applyNumberFormat="1" applyFont="1" applyAlignment="1">
      <alignment horizontal="right"/>
    </xf>
    <xf numFmtId="0" fontId="19" fillId="0" borderId="0" xfId="0" applyFont="1" applyAlignment="1">
      <alignment horizontal="right"/>
    </xf>
    <xf numFmtId="165" fontId="7" fillId="0" borderId="0" xfId="1" applyNumberFormat="1" applyFont="1" applyFill="1" applyBorder="1"/>
    <xf numFmtId="14" fontId="7" fillId="12" borderId="0" xfId="0" applyNumberFormat="1" applyFont="1" applyFill="1" applyAlignment="1">
      <alignment horizontal="right"/>
    </xf>
    <xf numFmtId="165" fontId="7" fillId="12" borderId="0" xfId="0" applyNumberFormat="1" applyFont="1" applyFill="1" applyAlignment="1">
      <alignment horizontal="center"/>
    </xf>
    <xf numFmtId="0" fontId="7" fillId="0" borderId="5" xfId="0" applyFont="1" applyBorder="1" applyAlignment="1">
      <alignment horizontal="right"/>
    </xf>
    <xf numFmtId="0" fontId="15" fillId="14" borderId="15" xfId="0" applyFont="1" applyFill="1" applyBorder="1" applyAlignment="1">
      <alignment horizontal="center"/>
    </xf>
    <xf numFmtId="49" fontId="15" fillId="14" borderId="15" xfId="0" applyNumberFormat="1" applyFont="1" applyFill="1" applyBorder="1" applyAlignment="1">
      <alignment horizontal="center"/>
    </xf>
    <xf numFmtId="17" fontId="25" fillId="14" borderId="16" xfId="0" applyNumberFormat="1" applyFont="1" applyFill="1" applyBorder="1" applyAlignment="1">
      <alignment horizontal="right"/>
    </xf>
    <xf numFmtId="0" fontId="15" fillId="14" borderId="16" xfId="0" applyFont="1" applyFill="1" applyBorder="1" applyAlignment="1">
      <alignment horizontal="right"/>
    </xf>
    <xf numFmtId="0" fontId="15" fillId="14" borderId="17" xfId="0" applyFont="1" applyFill="1" applyBorder="1" applyAlignment="1">
      <alignment horizontal="right"/>
    </xf>
    <xf numFmtId="0" fontId="15" fillId="14" borderId="0" xfId="0" applyFont="1" applyFill="1" applyAlignment="1">
      <alignment horizontal="right"/>
    </xf>
    <xf numFmtId="3" fontId="7" fillId="0" borderId="0" xfId="0" quotePrefix="1" applyNumberFormat="1" applyFont="1"/>
    <xf numFmtId="10" fontId="7" fillId="0" borderId="0" xfId="1" applyNumberFormat="1" applyFont="1"/>
    <xf numFmtId="10" fontId="7" fillId="0" borderId="0" xfId="1" applyNumberFormat="1" applyFont="1" applyFill="1" applyBorder="1"/>
    <xf numFmtId="10" fontId="7" fillId="0" borderId="0" xfId="1" quotePrefix="1" applyNumberFormat="1" applyFont="1" applyFill="1" applyBorder="1"/>
    <xf numFmtId="0" fontId="27" fillId="0" borderId="0" xfId="0" applyFont="1"/>
    <xf numFmtId="0" fontId="28" fillId="0" borderId="0" xfId="0" applyFont="1"/>
    <xf numFmtId="0" fontId="29" fillId="0" borderId="0" xfId="0" applyFont="1"/>
    <xf numFmtId="10" fontId="7" fillId="0" borderId="0" xfId="0" quotePrefix="1" applyNumberFormat="1" applyFont="1" applyAlignment="1">
      <alignment horizontal="right"/>
    </xf>
    <xf numFmtId="10" fontId="7" fillId="0" borderId="0" xfId="0" applyNumberFormat="1" applyFont="1"/>
    <xf numFmtId="0" fontId="7" fillId="13" borderId="0" xfId="0" applyFont="1" applyFill="1"/>
    <xf numFmtId="10" fontId="7" fillId="13" borderId="0" xfId="1" applyNumberFormat="1" applyFont="1" applyFill="1"/>
    <xf numFmtId="10" fontId="7" fillId="0" borderId="0" xfId="1" quotePrefix="1" applyNumberFormat="1" applyFont="1" applyAlignment="1">
      <alignment horizontal="right"/>
    </xf>
    <xf numFmtId="10" fontId="7" fillId="0" borderId="0" xfId="1" applyNumberFormat="1" applyFont="1" applyAlignment="1">
      <alignment horizontal="right"/>
    </xf>
    <xf numFmtId="167" fontId="7" fillId="12" borderId="0" xfId="0" applyNumberFormat="1" applyFont="1" applyFill="1"/>
    <xf numFmtId="167" fontId="7" fillId="0" borderId="0" xfId="0" applyNumberFormat="1" applyFont="1" applyAlignment="1">
      <alignment horizontal="left"/>
    </xf>
    <xf numFmtId="171" fontId="7" fillId="8" borderId="0" xfId="0" applyNumberFormat="1" applyFont="1" applyFill="1"/>
    <xf numFmtId="0" fontId="47" fillId="0" borderId="0" xfId="0" applyFont="1"/>
    <xf numFmtId="3" fontId="7" fillId="8" borderId="0" xfId="0" applyNumberFormat="1" applyFont="1" applyFill="1"/>
    <xf numFmtId="0" fontId="1" fillId="0" borderId="0" xfId="3"/>
    <xf numFmtId="0" fontId="1" fillId="0" borderId="0" xfId="3" applyAlignment="1">
      <alignment horizontal="center"/>
    </xf>
    <xf numFmtId="167" fontId="1" fillId="0" borderId="0" xfId="3" applyNumberFormat="1"/>
    <xf numFmtId="14" fontId="49" fillId="10" borderId="0" xfId="0" quotePrefix="1" applyNumberFormat="1" applyFont="1" applyFill="1" applyAlignment="1">
      <alignment horizontal="right"/>
    </xf>
    <xf numFmtId="37" fontId="22" fillId="0" borderId="28" xfId="0" applyNumberFormat="1" applyFont="1" applyBorder="1"/>
    <xf numFmtId="165" fontId="22" fillId="0" borderId="28" xfId="0" applyNumberFormat="1" applyFont="1" applyBorder="1"/>
    <xf numFmtId="0" fontId="1" fillId="0" borderId="0" xfId="3" applyAlignment="1">
      <alignment vertical="center"/>
    </xf>
    <xf numFmtId="3" fontId="1" fillId="0" borderId="0" xfId="3" applyNumberFormat="1" applyAlignment="1">
      <alignment horizontal="center" vertical="center" wrapText="1"/>
    </xf>
    <xf numFmtId="3" fontId="1" fillId="0" borderId="0" xfId="3" applyNumberFormat="1" applyAlignment="1">
      <alignment horizontal="center" vertical="center"/>
    </xf>
    <xf numFmtId="167" fontId="1" fillId="0" borderId="0" xfId="3" applyNumberFormat="1" applyAlignment="1">
      <alignment horizontal="center" vertical="center" wrapText="1"/>
    </xf>
    <xf numFmtId="0" fontId="1" fillId="0" borderId="0" xfId="3" applyAlignment="1">
      <alignment horizontal="center" vertical="center" wrapText="1"/>
    </xf>
    <xf numFmtId="37" fontId="52" fillId="0" borderId="0" xfId="46" applyNumberFormat="1" applyFont="1"/>
    <xf numFmtId="165" fontId="52" fillId="0" borderId="0" xfId="46" applyNumberFormat="1" applyFont="1"/>
    <xf numFmtId="0" fontId="48" fillId="0" borderId="0" xfId="0" applyFont="1" applyAlignment="1">
      <alignment horizontal="right" vertical="center" indent="1"/>
    </xf>
    <xf numFmtId="3" fontId="7" fillId="0" borderId="0" xfId="0" applyNumberFormat="1" applyFont="1" applyAlignment="1">
      <alignment horizontal="right" wrapText="1"/>
    </xf>
    <xf numFmtId="0" fontId="21" fillId="0" borderId="0" xfId="2"/>
    <xf numFmtId="0" fontId="55" fillId="0" borderId="0" xfId="2" applyFont="1" applyAlignment="1">
      <alignment horizontal="left"/>
    </xf>
    <xf numFmtId="169" fontId="54" fillId="0" borderId="0" xfId="2" applyNumberFormat="1" applyFont="1" applyAlignment="1">
      <alignment horizontal="right"/>
    </xf>
    <xf numFmtId="0" fontId="56" fillId="0" borderId="0" xfId="47"/>
    <xf numFmtId="0" fontId="0" fillId="0" borderId="0" xfId="0" applyAlignment="1">
      <alignment horizontal="center" vertical="center" wrapText="1"/>
    </xf>
    <xf numFmtId="0" fontId="0" fillId="0" borderId="0" xfId="0" applyAlignment="1">
      <alignment horizontal="right" vertical="center" wrapText="1"/>
    </xf>
    <xf numFmtId="165" fontId="0" fillId="0" borderId="0" xfId="0" applyNumberFormat="1" applyAlignment="1">
      <alignment horizontal="right" vertical="center" wrapText="1"/>
    </xf>
    <xf numFmtId="3" fontId="7" fillId="0" borderId="0" xfId="0" quotePrefix="1" applyNumberFormat="1" applyFont="1" applyAlignment="1">
      <alignment horizontal="right"/>
    </xf>
    <xf numFmtId="0" fontId="1" fillId="0" borderId="0" xfId="0" applyFont="1" applyAlignment="1">
      <alignment horizontal="right" vertical="center" wrapText="1"/>
    </xf>
    <xf numFmtId="166" fontId="17" fillId="0" borderId="0" xfId="0" quotePrefix="1" applyNumberFormat="1" applyFont="1"/>
    <xf numFmtId="0" fontId="47" fillId="0" borderId="0" xfId="0" applyFont="1" applyAlignment="1">
      <alignment horizontal="right"/>
    </xf>
    <xf numFmtId="10" fontId="48" fillId="0" borderId="0" xfId="0" applyNumberFormat="1" applyFont="1" applyAlignment="1">
      <alignment horizontal="right" vertical="center" indent="1"/>
    </xf>
    <xf numFmtId="0" fontId="22" fillId="0" borderId="0" xfId="0" applyFont="1"/>
    <xf numFmtId="0" fontId="48" fillId="0" borderId="0" xfId="0" applyFont="1"/>
    <xf numFmtId="3" fontId="1" fillId="0" borderId="0" xfId="0" applyNumberFormat="1" applyFont="1" applyAlignment="1">
      <alignment horizontal="right" vertical="center" wrapText="1"/>
    </xf>
    <xf numFmtId="10" fontId="1" fillId="0" borderId="0" xfId="0" applyNumberFormat="1" applyFont="1" applyAlignment="1">
      <alignment horizontal="right" vertical="center" wrapText="1"/>
    </xf>
    <xf numFmtId="0" fontId="1" fillId="0" borderId="0" xfId="3" applyAlignment="1">
      <alignment horizontal="right"/>
    </xf>
    <xf numFmtId="3" fontId="0" fillId="0" borderId="0" xfId="0" applyNumberFormat="1" applyAlignment="1">
      <alignment horizontal="right"/>
    </xf>
    <xf numFmtId="0" fontId="0" fillId="0" borderId="0" xfId="0" applyAlignment="1">
      <alignment horizontal="right"/>
    </xf>
    <xf numFmtId="3" fontId="1" fillId="0" borderId="0" xfId="3" applyNumberFormat="1" applyAlignment="1">
      <alignment horizontal="right"/>
    </xf>
    <xf numFmtId="165" fontId="1" fillId="0" borderId="0" xfId="0" applyNumberFormat="1" applyFont="1" applyAlignment="1">
      <alignment horizontal="right" vertical="center" wrapText="1"/>
    </xf>
    <xf numFmtId="3" fontId="47" fillId="0" borderId="0" xfId="0" applyNumberFormat="1" applyFont="1"/>
    <xf numFmtId="3" fontId="47" fillId="0" borderId="0" xfId="0" applyNumberFormat="1" applyFont="1" applyAlignment="1">
      <alignment horizontal="right"/>
    </xf>
    <xf numFmtId="165" fontId="47" fillId="0" borderId="0" xfId="0" applyNumberFormat="1" applyFont="1" applyAlignment="1">
      <alignment horizontal="right" vertical="center" wrapText="1"/>
    </xf>
    <xf numFmtId="3" fontId="47" fillId="0" borderId="0" xfId="0" applyNumberFormat="1" applyFont="1" applyAlignment="1">
      <alignment horizontal="right" vertical="center" wrapText="1"/>
    </xf>
    <xf numFmtId="0" fontId="47" fillId="0" borderId="0" xfId="0" applyFont="1" applyAlignment="1">
      <alignment horizontal="right" vertical="center" wrapText="1"/>
    </xf>
    <xf numFmtId="1" fontId="7" fillId="0" borderId="0" xfId="0" applyNumberFormat="1" applyFont="1"/>
    <xf numFmtId="165" fontId="7" fillId="0" borderId="0" xfId="1" applyNumberFormat="1" applyFont="1" applyFill="1" applyBorder="1" applyAlignment="1">
      <alignment horizontal="right"/>
    </xf>
    <xf numFmtId="165" fontId="7" fillId="0" borderId="1" xfId="1" applyNumberFormat="1" applyFont="1" applyFill="1" applyBorder="1" applyAlignment="1">
      <alignment horizontal="right"/>
    </xf>
    <xf numFmtId="166" fontId="7" fillId="0" borderId="0" xfId="0" applyNumberFormat="1" applyFont="1"/>
    <xf numFmtId="165" fontId="7" fillId="0" borderId="0" xfId="1" applyNumberFormat="1" applyFont="1" applyBorder="1" applyAlignment="1">
      <alignment horizontal="right"/>
    </xf>
    <xf numFmtId="165" fontId="7" fillId="0" borderId="1" xfId="1" applyNumberFormat="1" applyFont="1" applyBorder="1" applyAlignment="1">
      <alignment horizontal="right"/>
    </xf>
    <xf numFmtId="169" fontId="50" fillId="0" borderId="0" xfId="2" applyNumberFormat="1" applyFont="1" applyAlignment="1">
      <alignment horizontal="right"/>
    </xf>
    <xf numFmtId="168" fontId="50" fillId="0" borderId="0" xfId="2" applyNumberFormat="1" applyFont="1" applyAlignment="1">
      <alignment horizontal="right"/>
    </xf>
    <xf numFmtId="0" fontId="7" fillId="0" borderId="0" xfId="0" applyFont="1" applyAlignment="1">
      <alignment wrapText="1"/>
    </xf>
    <xf numFmtId="169" fontId="43" fillId="0" borderId="0" xfId="2" applyNumberFormat="1" applyFont="1" applyAlignment="1">
      <alignment horizontal="right"/>
    </xf>
    <xf numFmtId="172" fontId="43" fillId="0" borderId="0" xfId="2" applyNumberFormat="1" applyFont="1" applyAlignment="1">
      <alignment horizontal="right"/>
    </xf>
    <xf numFmtId="3" fontId="7" fillId="13" borderId="0" xfId="0" applyNumberFormat="1" applyFont="1" applyFill="1"/>
    <xf numFmtId="173" fontId="0" fillId="0" borderId="0" xfId="0" applyNumberFormat="1"/>
    <xf numFmtId="173" fontId="7" fillId="0" borderId="0" xfId="0" applyNumberFormat="1" applyFont="1"/>
    <xf numFmtId="0" fontId="7" fillId="13" borderId="0" xfId="0" applyFont="1" applyFill="1" applyAlignment="1">
      <alignment horizontal="right"/>
    </xf>
    <xf numFmtId="0" fontId="9" fillId="5" borderId="0" xfId="0" applyFont="1" applyFill="1"/>
    <xf numFmtId="0" fontId="9" fillId="3" borderId="0" xfId="0" applyFont="1" applyFill="1"/>
    <xf numFmtId="0" fontId="9" fillId="7" borderId="0" xfId="0" applyFont="1" applyFill="1"/>
    <xf numFmtId="0" fontId="57" fillId="0" borderId="0" xfId="0" applyFont="1"/>
    <xf numFmtId="0" fontId="58" fillId="0" borderId="0" xfId="0" applyFont="1" applyAlignment="1">
      <alignment horizontal="left"/>
    </xf>
    <xf numFmtId="0" fontId="59" fillId="0" borderId="0" xfId="0" applyFont="1"/>
    <xf numFmtId="174" fontId="7" fillId="0" borderId="0" xfId="49" applyNumberFormat="1" applyFont="1"/>
    <xf numFmtId="165" fontId="7" fillId="0" borderId="0" xfId="5" applyNumberFormat="1" applyFont="1"/>
    <xf numFmtId="0" fontId="9" fillId="2" borderId="6" xfId="0" applyFont="1" applyFill="1" applyBorder="1"/>
    <xf numFmtId="0" fontId="9" fillId="2" borderId="4" xfId="0" applyFont="1" applyFill="1" applyBorder="1"/>
    <xf numFmtId="0" fontId="9" fillId="4" borderId="0" xfId="0" applyFont="1" applyFill="1"/>
    <xf numFmtId="3" fontId="59" fillId="0" borderId="0" xfId="0" applyNumberFormat="1" applyFont="1" applyAlignment="1">
      <alignment horizontal="right"/>
    </xf>
    <xf numFmtId="17" fontId="59" fillId="0" borderId="0" xfId="0" applyNumberFormat="1" applyFont="1"/>
    <xf numFmtId="165" fontId="19" fillId="0" borderId="0" xfId="2" applyNumberFormat="1" applyFont="1" applyAlignment="1">
      <alignment horizontal="right"/>
    </xf>
    <xf numFmtId="165" fontId="9" fillId="46" borderId="0" xfId="0" applyNumberFormat="1" applyFont="1" applyFill="1"/>
    <xf numFmtId="168" fontId="18" fillId="48" borderId="0" xfId="0" applyNumberFormat="1" applyFont="1" applyFill="1" applyAlignment="1">
      <alignment horizontal="right"/>
    </xf>
    <xf numFmtId="17" fontId="9" fillId="0" borderId="0" xfId="0" quotePrefix="1" applyNumberFormat="1" applyFont="1" applyAlignment="1">
      <alignment horizontal="center"/>
    </xf>
    <xf numFmtId="0" fontId="13" fillId="0" borderId="0" xfId="0" applyFont="1" applyAlignment="1">
      <alignment horizontal="right" vertical="center" wrapText="1"/>
    </xf>
    <xf numFmtId="0" fontId="26" fillId="0" borderId="0" xfId="0" applyFont="1" applyAlignment="1">
      <alignment horizontal="center"/>
    </xf>
    <xf numFmtId="0" fontId="7" fillId="0" borderId="18" xfId="0" applyFont="1" applyBorder="1"/>
    <xf numFmtId="0" fontId="7" fillId="0" borderId="18" xfId="0" applyFont="1" applyBorder="1" applyAlignment="1">
      <alignment horizontal="center"/>
    </xf>
    <xf numFmtId="3" fontId="7" fillId="0" borderId="18" xfId="0" applyNumberFormat="1" applyFont="1" applyBorder="1"/>
    <xf numFmtId="10" fontId="7" fillId="0" borderId="18" xfId="0" applyNumberFormat="1" applyFont="1" applyBorder="1"/>
    <xf numFmtId="0" fontId="7" fillId="0" borderId="18" xfId="0" applyFont="1" applyBorder="1" applyAlignment="1">
      <alignment horizontal="left" indent="1"/>
    </xf>
    <xf numFmtId="0" fontId="7" fillId="0" borderId="14" xfId="0" applyFont="1" applyBorder="1" applyAlignment="1">
      <alignment horizontal="left" indent="2"/>
    </xf>
    <xf numFmtId="0" fontId="7" fillId="0" borderId="14" xfId="0" applyFont="1" applyBorder="1" applyAlignment="1">
      <alignment horizontal="left" indent="1"/>
    </xf>
    <xf numFmtId="0" fontId="7" fillId="0" borderId="14" xfId="0" applyFont="1" applyBorder="1" applyAlignment="1">
      <alignment horizontal="left" indent="3"/>
    </xf>
    <xf numFmtId="49" fontId="7" fillId="0" borderId="14" xfId="0" applyNumberFormat="1" applyFont="1" applyBorder="1" applyAlignment="1">
      <alignment horizontal="center"/>
    </xf>
    <xf numFmtId="3" fontId="7" fillId="0" borderId="14" xfId="0" applyNumberFormat="1" applyFont="1" applyBorder="1"/>
    <xf numFmtId="10" fontId="7" fillId="0" borderId="14" xfId="0" applyNumberFormat="1" applyFont="1" applyBorder="1"/>
    <xf numFmtId="17" fontId="61" fillId="14" borderId="16" xfId="0" applyNumberFormat="1" applyFont="1" applyFill="1" applyBorder="1" applyAlignment="1">
      <alignment horizontal="right"/>
    </xf>
    <xf numFmtId="17" fontId="61" fillId="14" borderId="0" xfId="0" applyNumberFormat="1" applyFont="1" applyFill="1" applyAlignment="1">
      <alignment horizontal="right"/>
    </xf>
    <xf numFmtId="17" fontId="61" fillId="14" borderId="17" xfId="0" applyNumberFormat="1" applyFont="1" applyFill="1" applyBorder="1" applyAlignment="1">
      <alignment horizontal="right"/>
    </xf>
    <xf numFmtId="3" fontId="7" fillId="0" borderId="18" xfId="0" applyNumberFormat="1" applyFont="1" applyBorder="1" applyAlignment="1">
      <alignment horizontal="right"/>
    </xf>
    <xf numFmtId="0" fontId="7" fillId="0" borderId="18" xfId="0" applyFont="1" applyBorder="1" applyAlignment="1">
      <alignment horizontal="left" indent="2"/>
    </xf>
    <xf numFmtId="0" fontId="7" fillId="0" borderId="18" xfId="0" quotePrefix="1" applyFont="1" applyBorder="1" applyAlignment="1">
      <alignment horizontal="center"/>
    </xf>
    <xf numFmtId="0" fontId="62" fillId="0" borderId="13" xfId="2" applyFont="1" applyBorder="1" applyAlignment="1">
      <alignment horizontal="left" vertical="center" wrapText="1"/>
    </xf>
    <xf numFmtId="0" fontId="62" fillId="0" borderId="13" xfId="2" applyFont="1" applyBorder="1" applyAlignment="1">
      <alignment horizontal="right" vertical="center" wrapText="1"/>
    </xf>
    <xf numFmtId="0" fontId="62" fillId="0" borderId="0" xfId="2" applyFont="1" applyAlignment="1">
      <alignment horizontal="left"/>
    </xf>
    <xf numFmtId="168" fontId="21" fillId="0" borderId="0" xfId="2" applyNumberFormat="1" applyAlignment="1">
      <alignment horizontal="right"/>
    </xf>
    <xf numFmtId="169" fontId="21" fillId="0" borderId="0" xfId="2" applyNumberFormat="1" applyAlignment="1">
      <alignment horizontal="right"/>
    </xf>
    <xf numFmtId="0" fontId="64" fillId="0" borderId="0" xfId="0" applyFont="1"/>
    <xf numFmtId="37" fontId="22" fillId="0" borderId="30" xfId="0" applyNumberFormat="1" applyFont="1" applyBorder="1"/>
    <xf numFmtId="165" fontId="22" fillId="0" borderId="30" xfId="0" applyNumberFormat="1" applyFont="1" applyBorder="1"/>
    <xf numFmtId="0" fontId="9" fillId="12" borderId="0" xfId="0" applyFont="1" applyFill="1"/>
    <xf numFmtId="165" fontId="7" fillId="0" borderId="3" xfId="1" applyNumberFormat="1" applyFont="1" applyBorder="1" applyAlignment="1">
      <alignment horizontal="right"/>
    </xf>
    <xf numFmtId="165" fontId="7" fillId="0" borderId="5" xfId="1" applyNumberFormat="1" applyFont="1" applyBorder="1" applyAlignment="1">
      <alignment horizontal="right"/>
    </xf>
    <xf numFmtId="0" fontId="9" fillId="0" borderId="1" xfId="0" applyFont="1" applyBorder="1" applyAlignment="1">
      <alignment horizontal="right"/>
    </xf>
    <xf numFmtId="0" fontId="7" fillId="0" borderId="0" xfId="0" applyFont="1" applyProtection="1">
      <protection hidden="1"/>
    </xf>
    <xf numFmtId="0" fontId="8" fillId="0" borderId="0" xfId="0" applyFont="1" applyProtection="1">
      <protection locked="0"/>
    </xf>
    <xf numFmtId="44" fontId="5" fillId="0" borderId="0" xfId="52" applyFont="1"/>
    <xf numFmtId="0" fontId="15" fillId="14" borderId="0" xfId="0" applyFont="1" applyFill="1" applyAlignment="1">
      <alignment horizontal="center"/>
    </xf>
    <xf numFmtId="0" fontId="15" fillId="14" borderId="0" xfId="0" applyFont="1" applyFill="1" applyAlignment="1">
      <alignment horizontal="left"/>
    </xf>
    <xf numFmtId="0" fontId="15" fillId="14" borderId="16" xfId="0" applyFont="1" applyFill="1" applyBorder="1" applyAlignment="1">
      <alignment horizontal="center"/>
    </xf>
    <xf numFmtId="0" fontId="15" fillId="14" borderId="17" xfId="0" applyFont="1" applyFill="1" applyBorder="1" applyAlignment="1">
      <alignment horizontal="center"/>
    </xf>
    <xf numFmtId="0" fontId="9" fillId="50" borderId="6" xfId="0" applyFont="1" applyFill="1" applyBorder="1"/>
    <xf numFmtId="0" fontId="7" fillId="50" borderId="7" xfId="0" applyFont="1" applyFill="1" applyBorder="1"/>
    <xf numFmtId="0" fontId="7" fillId="50" borderId="2" xfId="0" applyFont="1" applyFill="1" applyBorder="1"/>
    <xf numFmtId="0" fontId="7" fillId="50" borderId="0" xfId="0" applyFont="1" applyFill="1"/>
    <xf numFmtId="0" fontId="9" fillId="50" borderId="0" xfId="0" applyFont="1" applyFill="1" applyAlignment="1">
      <alignment horizontal="right"/>
    </xf>
    <xf numFmtId="0" fontId="7" fillId="50" borderId="4" xfId="0" applyFont="1" applyFill="1" applyBorder="1"/>
    <xf numFmtId="0" fontId="9" fillId="50" borderId="1" xfId="0" applyFont="1" applyFill="1" applyBorder="1" applyAlignment="1">
      <alignment horizontal="right"/>
    </xf>
    <xf numFmtId="166" fontId="7" fillId="50" borderId="2" xfId="0" applyNumberFormat="1" applyFont="1" applyFill="1" applyBorder="1" applyAlignment="1">
      <alignment horizontal="center"/>
    </xf>
    <xf numFmtId="3" fontId="7" fillId="50" borderId="0" xfId="0" applyNumberFormat="1" applyFont="1" applyFill="1"/>
    <xf numFmtId="165" fontId="7" fillId="50" borderId="0" xfId="1" applyNumberFormat="1" applyFont="1" applyFill="1" applyBorder="1"/>
    <xf numFmtId="0" fontId="9" fillId="50" borderId="7" xfId="0" applyFont="1" applyFill="1" applyBorder="1" applyAlignment="1">
      <alignment horizontal="right"/>
    </xf>
    <xf numFmtId="0" fontId="9" fillId="50" borderId="29" xfId="0" applyFont="1" applyFill="1" applyBorder="1" applyAlignment="1">
      <alignment horizontal="right"/>
    </xf>
    <xf numFmtId="0" fontId="7" fillId="50" borderId="1" xfId="0" applyFont="1" applyFill="1" applyBorder="1"/>
    <xf numFmtId="166" fontId="9" fillId="50" borderId="1" xfId="0" applyNumberFormat="1" applyFont="1" applyFill="1" applyBorder="1" applyAlignment="1">
      <alignment horizontal="right"/>
    </xf>
    <xf numFmtId="166" fontId="9" fillId="50" borderId="1" xfId="0" applyNumberFormat="1" applyFont="1" applyFill="1" applyBorder="1" applyAlignment="1">
      <alignment horizontal="right" indent="1"/>
    </xf>
    <xf numFmtId="0" fontId="9" fillId="50" borderId="5" xfId="0" applyFont="1" applyFill="1" applyBorder="1" applyAlignment="1">
      <alignment horizontal="right"/>
    </xf>
    <xf numFmtId="0" fontId="7" fillId="51" borderId="7" xfId="0" applyFont="1" applyFill="1" applyBorder="1"/>
    <xf numFmtId="0" fontId="9" fillId="50" borderId="8" xfId="0" applyFont="1" applyFill="1" applyBorder="1" applyAlignment="1">
      <alignment horizontal="right"/>
    </xf>
    <xf numFmtId="17" fontId="7" fillId="50" borderId="2" xfId="0" applyNumberFormat="1" applyFont="1" applyFill="1" applyBorder="1" applyAlignment="1">
      <alignment horizontal="center"/>
    </xf>
    <xf numFmtId="3" fontId="7" fillId="50" borderId="0" xfId="0" applyNumberFormat="1" applyFont="1" applyFill="1" applyAlignment="1">
      <alignment horizontal="right"/>
    </xf>
    <xf numFmtId="3" fontId="7" fillId="50" borderId="3" xfId="0" applyNumberFormat="1" applyFont="1" applyFill="1" applyBorder="1" applyAlignment="1">
      <alignment horizontal="right"/>
    </xf>
    <xf numFmtId="0" fontId="13" fillId="50" borderId="6" xfId="0" applyFont="1" applyFill="1" applyBorder="1" applyAlignment="1">
      <alignment horizontal="left"/>
    </xf>
    <xf numFmtId="0" fontId="12" fillId="50" borderId="7" xfId="0" applyFont="1" applyFill="1" applyBorder="1" applyAlignment="1">
      <alignment horizontal="right"/>
    </xf>
    <xf numFmtId="0" fontId="12" fillId="50" borderId="29" xfId="0" applyFont="1" applyFill="1" applyBorder="1" applyAlignment="1">
      <alignment horizontal="right"/>
    </xf>
    <xf numFmtId="0" fontId="9" fillId="50" borderId="4" xfId="0" applyFont="1" applyFill="1" applyBorder="1" applyAlignment="1">
      <alignment horizontal="left"/>
    </xf>
    <xf numFmtId="0" fontId="12" fillId="50" borderId="1" xfId="0" applyFont="1" applyFill="1" applyBorder="1" applyAlignment="1">
      <alignment horizontal="right"/>
    </xf>
    <xf numFmtId="0" fontId="12" fillId="50" borderId="5" xfId="0" applyFont="1" applyFill="1" applyBorder="1" applyAlignment="1">
      <alignment horizontal="right"/>
    </xf>
    <xf numFmtId="0" fontId="12" fillId="50" borderId="7" xfId="0" applyFont="1" applyFill="1" applyBorder="1" applyAlignment="1">
      <alignment horizontal="left"/>
    </xf>
    <xf numFmtId="0" fontId="12" fillId="50" borderId="7" xfId="0" applyFont="1" applyFill="1" applyBorder="1" applyAlignment="1">
      <alignment horizontal="right" indent="2"/>
    </xf>
    <xf numFmtId="0" fontId="9" fillId="50" borderId="7" xfId="0" applyFont="1" applyFill="1" applyBorder="1"/>
    <xf numFmtId="0" fontId="12" fillId="50" borderId="8" xfId="0" applyFont="1" applyFill="1" applyBorder="1" applyAlignment="1">
      <alignment horizontal="right"/>
    </xf>
    <xf numFmtId="0" fontId="12" fillId="50" borderId="1" xfId="0" applyFont="1" applyFill="1" applyBorder="1" applyAlignment="1">
      <alignment horizontal="left"/>
    </xf>
    <xf numFmtId="0" fontId="12" fillId="50" borderId="1" xfId="0" applyFont="1" applyFill="1" applyBorder="1" applyAlignment="1">
      <alignment horizontal="right" indent="2"/>
    </xf>
    <xf numFmtId="0" fontId="9" fillId="50" borderId="1" xfId="0" applyFont="1" applyFill="1" applyBorder="1"/>
    <xf numFmtId="0" fontId="9" fillId="0" borderId="0" xfId="0" applyFont="1" applyAlignment="1">
      <alignment horizontal="left" vertical="center"/>
    </xf>
    <xf numFmtId="0" fontId="66" fillId="0" borderId="0" xfId="0" applyFont="1" applyAlignment="1">
      <alignment horizontal="left" vertical="center"/>
    </xf>
    <xf numFmtId="0" fontId="67" fillId="0" borderId="0" xfId="0" applyFont="1" applyAlignment="1">
      <alignment horizontal="left" vertical="center"/>
    </xf>
    <xf numFmtId="0" fontId="68" fillId="0" borderId="0" xfId="0" applyFont="1"/>
    <xf numFmtId="0" fontId="58" fillId="4" borderId="0" xfId="0" applyFont="1" applyFill="1"/>
    <xf numFmtId="14" fontId="9" fillId="2" borderId="31" xfId="0" applyNumberFormat="1" applyFont="1" applyFill="1" applyBorder="1" applyProtection="1">
      <protection locked="0"/>
    </xf>
    <xf numFmtId="0" fontId="9" fillId="2" borderId="7" xfId="0" applyFont="1" applyFill="1" applyBorder="1"/>
    <xf numFmtId="14" fontId="9" fillId="2" borderId="29" xfId="0" applyNumberFormat="1" applyFont="1" applyFill="1" applyBorder="1" applyAlignment="1">
      <alignment horizontal="left"/>
    </xf>
    <xf numFmtId="0" fontId="9" fillId="2" borderId="1" xfId="0" applyFont="1" applyFill="1" applyBorder="1" applyAlignment="1">
      <alignment horizontal="left"/>
    </xf>
    <xf numFmtId="0" fontId="7" fillId="2" borderId="5" xfId="0" applyFont="1" applyFill="1" applyBorder="1" applyAlignment="1">
      <alignment horizontal="left"/>
    </xf>
    <xf numFmtId="0" fontId="7" fillId="2" borderId="7" xfId="0" applyFont="1" applyFill="1" applyBorder="1"/>
    <xf numFmtId="14" fontId="9" fillId="2" borderId="29" xfId="0" applyNumberFormat="1" applyFont="1" applyFill="1" applyBorder="1"/>
    <xf numFmtId="17" fontId="7" fillId="2" borderId="1" xfId="0" applyNumberFormat="1" applyFont="1" applyFill="1" applyBorder="1"/>
    <xf numFmtId="17" fontId="9" fillId="2" borderId="5" xfId="0" applyNumberFormat="1" applyFont="1" applyFill="1" applyBorder="1" applyAlignment="1">
      <alignment horizontal="right"/>
    </xf>
    <xf numFmtId="0" fontId="7" fillId="47" borderId="1" xfId="0" applyFont="1" applyFill="1" applyBorder="1"/>
    <xf numFmtId="14" fontId="9" fillId="2" borderId="7" xfId="0" applyNumberFormat="1" applyFont="1" applyFill="1" applyBorder="1"/>
    <xf numFmtId="0" fontId="9" fillId="2" borderId="2" xfId="0" applyFont="1" applyFill="1" applyBorder="1"/>
    <xf numFmtId="0" fontId="7" fillId="2" borderId="0" xfId="0" applyFont="1" applyFill="1"/>
    <xf numFmtId="0" fontId="7" fillId="2" borderId="3" xfId="0" applyFont="1" applyFill="1" applyBorder="1"/>
    <xf numFmtId="0" fontId="7" fillId="2" borderId="4" xfId="0" applyFont="1" applyFill="1" applyBorder="1"/>
    <xf numFmtId="0" fontId="9" fillId="2" borderId="1" xfId="0" applyFont="1" applyFill="1" applyBorder="1"/>
    <xf numFmtId="0" fontId="7" fillId="2" borderId="5" xfId="0" applyFont="1" applyFill="1" applyBorder="1"/>
    <xf numFmtId="0" fontId="9" fillId="2" borderId="9" xfId="0" applyFont="1" applyFill="1" applyBorder="1" applyAlignment="1">
      <alignment vertical="center"/>
    </xf>
    <xf numFmtId="0" fontId="9" fillId="47" borderId="9" xfId="0" applyFont="1" applyFill="1" applyBorder="1" applyAlignment="1">
      <alignment vertical="center"/>
    </xf>
    <xf numFmtId="0" fontId="7" fillId="47" borderId="11" xfId="0" applyFont="1" applyFill="1" applyBorder="1" applyAlignment="1">
      <alignment vertical="center"/>
    </xf>
    <xf numFmtId="14" fontId="9" fillId="47" borderId="11" xfId="0" applyNumberFormat="1" applyFont="1" applyFill="1" applyBorder="1" applyAlignment="1">
      <alignment vertical="center"/>
    </xf>
    <xf numFmtId="14" fontId="9" fillId="2" borderId="0" xfId="0" applyNumberFormat="1" applyFont="1" applyFill="1" applyAlignment="1">
      <alignment horizontal="left"/>
    </xf>
    <xf numFmtId="14" fontId="9" fillId="2" borderId="32" xfId="0" applyNumberFormat="1" applyFont="1" applyFill="1" applyBorder="1"/>
    <xf numFmtId="0" fontId="28" fillId="11" borderId="0" xfId="0" applyFont="1" applyFill="1"/>
    <xf numFmtId="0" fontId="0" fillId="0" borderId="0" xfId="0" applyAlignment="1" applyProtection="1">
      <alignment horizontal="right"/>
      <protection locked="0"/>
    </xf>
    <xf numFmtId="17" fontId="69" fillId="14" borderId="16" xfId="0" applyNumberFormat="1" applyFont="1" applyFill="1" applyBorder="1" applyAlignment="1">
      <alignment horizontal="right"/>
    </xf>
    <xf numFmtId="17" fontId="69" fillId="14" borderId="0" xfId="0" applyNumberFormat="1" applyFont="1" applyFill="1" applyAlignment="1">
      <alignment horizontal="right"/>
    </xf>
    <xf numFmtId="17" fontId="69" fillId="14" borderId="17" xfId="0" applyNumberFormat="1" applyFont="1" applyFill="1" applyBorder="1" applyAlignment="1">
      <alignment horizontal="right"/>
    </xf>
    <xf numFmtId="0" fontId="70" fillId="14" borderId="16" xfId="0" applyFont="1" applyFill="1" applyBorder="1" applyAlignment="1">
      <alignment horizontal="right"/>
    </xf>
    <xf numFmtId="0" fontId="70" fillId="14" borderId="17" xfId="0" applyFont="1" applyFill="1" applyBorder="1" applyAlignment="1">
      <alignment horizontal="right"/>
    </xf>
    <xf numFmtId="0" fontId="70" fillId="14" borderId="0" xfId="0" applyFont="1" applyFill="1" applyAlignment="1">
      <alignment horizontal="right"/>
    </xf>
    <xf numFmtId="3" fontId="0" fillId="0" borderId="18" xfId="0" applyNumberFormat="1" applyBorder="1" applyAlignment="1">
      <alignment horizontal="right"/>
    </xf>
    <xf numFmtId="3" fontId="0" fillId="0" borderId="18" xfId="0" applyNumberFormat="1" applyBorder="1"/>
    <xf numFmtId="10" fontId="0" fillId="0" borderId="18" xfId="0" applyNumberFormat="1" applyBorder="1"/>
    <xf numFmtId="3" fontId="0" fillId="0" borderId="14" xfId="0" applyNumberFormat="1" applyBorder="1"/>
    <xf numFmtId="10" fontId="0" fillId="0" borderId="14" xfId="0" applyNumberFormat="1" applyBorder="1"/>
    <xf numFmtId="3" fontId="71" fillId="52" borderId="14" xfId="0" applyNumberFormat="1" applyFont="1" applyFill="1" applyBorder="1" applyAlignment="1">
      <alignment horizontal="right" wrapText="1"/>
    </xf>
    <xf numFmtId="3" fontId="71" fillId="52" borderId="0" xfId="0" applyNumberFormat="1" applyFont="1" applyFill="1" applyAlignment="1">
      <alignment horizontal="right" wrapText="1"/>
    </xf>
    <xf numFmtId="176" fontId="0" fillId="0" borderId="0" xfId="0" applyNumberFormat="1"/>
    <xf numFmtId="174" fontId="7" fillId="0" borderId="0" xfId="0" applyNumberFormat="1" applyFont="1"/>
    <xf numFmtId="3" fontId="50" fillId="0" borderId="0" xfId="0" applyNumberFormat="1" applyFont="1" applyAlignment="1">
      <alignment horizontal="right"/>
    </xf>
    <xf numFmtId="165" fontId="0" fillId="0" borderId="0" xfId="0" applyNumberFormat="1"/>
    <xf numFmtId="37" fontId="72" fillId="0" borderId="33" xfId="0" applyNumberFormat="1" applyFont="1" applyBorder="1"/>
    <xf numFmtId="37" fontId="72" fillId="0" borderId="28" xfId="0" applyNumberFormat="1" applyFont="1" applyBorder="1"/>
    <xf numFmtId="165" fontId="72" fillId="0" borderId="28" xfId="0" applyNumberFormat="1" applyFont="1" applyBorder="1"/>
    <xf numFmtId="0" fontId="1" fillId="0" borderId="0" xfId="0" applyFont="1"/>
    <xf numFmtId="0" fontId="26" fillId="0" borderId="0" xfId="0" applyFont="1"/>
    <xf numFmtId="0" fontId="26" fillId="11" borderId="0" xfId="0" applyFont="1" applyFill="1"/>
    <xf numFmtId="0" fontId="26" fillId="0" borderId="0" xfId="0" applyFont="1" applyAlignment="1">
      <alignment horizontal="left"/>
    </xf>
    <xf numFmtId="2" fontId="7" fillId="53" borderId="0" xfId="0" applyNumberFormat="1" applyFont="1" applyFill="1"/>
    <xf numFmtId="0" fontId="0" fillId="53" borderId="0" xfId="0" applyFill="1"/>
    <xf numFmtId="2" fontId="7" fillId="53" borderId="0" xfId="0" quotePrefix="1" applyNumberFormat="1" applyFont="1" applyFill="1"/>
    <xf numFmtId="0" fontId="9" fillId="0" borderId="6" xfId="0" applyFont="1" applyBorder="1" applyAlignment="1">
      <alignment horizontal="center" wrapText="1"/>
    </xf>
    <xf numFmtId="0" fontId="9" fillId="0" borderId="7" xfId="0" applyFont="1" applyBorder="1" applyAlignment="1">
      <alignment horizontal="center" wrapText="1"/>
    </xf>
    <xf numFmtId="0" fontId="9" fillId="0" borderId="8" xfId="0" applyFont="1" applyBorder="1" applyAlignment="1">
      <alignment horizontal="center" wrapText="1"/>
    </xf>
    <xf numFmtId="0" fontId="9" fillId="0" borderId="2" xfId="0" applyFont="1" applyBorder="1" applyAlignment="1">
      <alignment horizontal="center" wrapText="1"/>
    </xf>
    <xf numFmtId="0" fontId="9" fillId="0" borderId="0" xfId="0" applyFont="1" applyAlignment="1">
      <alignment horizontal="center" wrapText="1"/>
    </xf>
    <xf numFmtId="0" fontId="9" fillId="0" borderId="3" xfId="0" applyFont="1" applyBorder="1" applyAlignment="1">
      <alignment horizontal="center" wrapText="1"/>
    </xf>
    <xf numFmtId="0" fontId="7" fillId="0" borderId="0" xfId="0" applyFont="1" applyAlignment="1">
      <alignment horizontal="left" vertical="top"/>
    </xf>
    <xf numFmtId="0" fontId="9" fillId="0" borderId="0" xfId="0" applyFont="1" applyAlignment="1">
      <alignment horizontal="left" vertical="top"/>
    </xf>
    <xf numFmtId="0" fontId="9" fillId="0" borderId="0" xfId="0" applyFont="1" applyAlignment="1">
      <alignment horizontal="center"/>
    </xf>
    <xf numFmtId="0" fontId="10" fillId="0" borderId="1" xfId="0" applyFont="1" applyBorder="1" applyAlignment="1">
      <alignment horizontal="left" vertical="center"/>
    </xf>
    <xf numFmtId="0" fontId="7" fillId="0" borderId="2" xfId="0" applyFont="1" applyBorder="1" applyAlignment="1">
      <alignment horizontal="center"/>
    </xf>
    <xf numFmtId="0" fontId="7" fillId="0" borderId="0" xfId="0" applyFont="1" applyAlignment="1">
      <alignment horizontal="center"/>
    </xf>
    <xf numFmtId="0" fontId="7" fillId="0" borderId="3" xfId="0" applyFont="1" applyBorder="1" applyAlignment="1">
      <alignment horizontal="center"/>
    </xf>
    <xf numFmtId="0" fontId="10" fillId="0" borderId="0" xfId="0" applyFont="1" applyAlignment="1">
      <alignment horizontal="left" vertical="center"/>
    </xf>
    <xf numFmtId="0" fontId="10" fillId="0" borderId="2" xfId="0" applyFont="1" applyBorder="1" applyAlignment="1">
      <alignment horizontal="left" vertical="center"/>
    </xf>
    <xf numFmtId="0" fontId="10" fillId="0" borderId="2" xfId="0" applyFont="1" applyBorder="1" applyAlignment="1">
      <alignment vertical="center"/>
    </xf>
    <xf numFmtId="0" fontId="10" fillId="0" borderId="0" xfId="0" applyFont="1" applyAlignment="1">
      <alignment vertical="center"/>
    </xf>
    <xf numFmtId="0" fontId="9" fillId="0" borderId="6" xfId="0" applyFont="1" applyBorder="1" applyAlignment="1">
      <alignment horizontal="center"/>
    </xf>
    <xf numFmtId="0" fontId="9" fillId="0" borderId="7" xfId="0" applyFont="1" applyBorder="1" applyAlignment="1">
      <alignment horizontal="center"/>
    </xf>
    <xf numFmtId="0" fontId="9" fillId="0" borderId="8" xfId="0" applyFont="1" applyBorder="1" applyAlignment="1">
      <alignment horizontal="center"/>
    </xf>
    <xf numFmtId="0" fontId="11" fillId="0" borderId="2" xfId="0" applyFont="1" applyBorder="1" applyAlignment="1">
      <alignment horizontal="center" vertical="center" wrapText="1"/>
    </xf>
    <xf numFmtId="0" fontId="11" fillId="0" borderId="0" xfId="0" applyFont="1" applyAlignment="1">
      <alignment horizontal="center" vertical="center" wrapText="1"/>
    </xf>
    <xf numFmtId="0" fontId="11" fillId="0" borderId="3" xfId="0" applyFont="1" applyBorder="1" applyAlignment="1">
      <alignment horizontal="center" vertical="center" wrapText="1"/>
    </xf>
    <xf numFmtId="0" fontId="58" fillId="50" borderId="9" xfId="0" applyFont="1" applyFill="1" applyBorder="1" applyAlignment="1">
      <alignment horizontal="left"/>
    </xf>
    <xf numFmtId="0" fontId="58" fillId="50" borderId="10" xfId="0" applyFont="1" applyFill="1" applyBorder="1" applyAlignment="1">
      <alignment horizontal="left"/>
    </xf>
    <xf numFmtId="0" fontId="58" fillId="50" borderId="11" xfId="0" applyFont="1" applyFill="1" applyBorder="1" applyAlignment="1">
      <alignment horizontal="left"/>
    </xf>
    <xf numFmtId="0" fontId="7" fillId="49" borderId="0" xfId="0" applyFont="1" applyFill="1"/>
    <xf numFmtId="0" fontId="7" fillId="49" borderId="6" xfId="0" applyFont="1" applyFill="1" applyBorder="1"/>
    <xf numFmtId="0" fontId="7" fillId="49" borderId="7" xfId="0" applyFont="1" applyFill="1" applyBorder="1"/>
    <xf numFmtId="0" fontId="7" fillId="49" borderId="29" xfId="0" applyFont="1" applyFill="1" applyBorder="1"/>
    <xf numFmtId="0" fontId="1" fillId="0" borderId="0" xfId="3" applyAlignment="1">
      <alignment horizontal="left" vertical="center"/>
    </xf>
    <xf numFmtId="0" fontId="15" fillId="14" borderId="16" xfId="0" applyFont="1" applyFill="1" applyBorder="1" applyAlignment="1">
      <alignment horizontal="center"/>
    </xf>
    <xf numFmtId="0" fontId="15" fillId="14" borderId="17" xfId="0" applyFont="1" applyFill="1" applyBorder="1" applyAlignment="1">
      <alignment horizontal="center"/>
    </xf>
    <xf numFmtId="0" fontId="15" fillId="14" borderId="0" xfId="0" applyFont="1" applyFill="1" applyAlignment="1">
      <alignment horizontal="center"/>
    </xf>
    <xf numFmtId="0" fontId="15" fillId="14" borderId="17" xfId="0" applyFont="1" applyFill="1" applyBorder="1" applyAlignment="1">
      <alignment horizontal="left"/>
    </xf>
    <xf numFmtId="0" fontId="15" fillId="14" borderId="0" xfId="0" applyFont="1" applyFill="1" applyAlignment="1">
      <alignment horizontal="left"/>
    </xf>
    <xf numFmtId="0" fontId="26" fillId="0" borderId="0" xfId="0" applyFont="1" applyAlignment="1">
      <alignment horizontal="center"/>
    </xf>
    <xf numFmtId="175" fontId="9" fillId="47" borderId="1" xfId="0" applyNumberFormat="1" applyFont="1" applyFill="1" applyBorder="1" applyAlignment="1">
      <alignment horizontal="center"/>
    </xf>
    <xf numFmtId="175" fontId="9" fillId="47" borderId="5" xfId="0" applyNumberFormat="1" applyFont="1" applyFill="1" applyBorder="1" applyAlignment="1">
      <alignment horizontal="center"/>
    </xf>
    <xf numFmtId="14" fontId="9" fillId="2" borderId="7" xfId="0" applyNumberFormat="1" applyFont="1" applyFill="1" applyBorder="1" applyAlignment="1">
      <alignment horizontal="center"/>
    </xf>
    <xf numFmtId="14" fontId="9" fillId="2" borderId="29" xfId="0" applyNumberFormat="1" applyFont="1" applyFill="1" applyBorder="1" applyAlignment="1">
      <alignment horizontal="center"/>
    </xf>
    <xf numFmtId="0" fontId="53" fillId="0" borderId="0" xfId="2" applyFont="1" applyAlignment="1">
      <alignment horizontal="left"/>
    </xf>
    <xf numFmtId="0" fontId="21" fillId="0" borderId="0" xfId="2"/>
    <xf numFmtId="165" fontId="9" fillId="46" borderId="0" xfId="0" applyNumberFormat="1" applyFont="1" applyFill="1" applyAlignment="1">
      <alignment horizontal="center"/>
    </xf>
    <xf numFmtId="0" fontId="9" fillId="0" borderId="0" xfId="0" applyFont="1" applyAlignment="1">
      <alignment horizontal="center" vertical="center"/>
    </xf>
    <xf numFmtId="0" fontId="15" fillId="12" borderId="0" xfId="0" applyFont="1" applyFill="1" applyAlignment="1">
      <alignment horizontal="center"/>
    </xf>
    <xf numFmtId="0" fontId="58" fillId="9" borderId="6" xfId="0" applyFont="1" applyFill="1" applyBorder="1" applyAlignment="1">
      <alignment horizontal="center"/>
    </xf>
    <xf numFmtId="0" fontId="58" fillId="9" borderId="7" xfId="0" applyFont="1" applyFill="1" applyBorder="1" applyAlignment="1">
      <alignment horizontal="center"/>
    </xf>
    <xf numFmtId="0" fontId="58" fillId="9" borderId="29" xfId="0" applyFont="1" applyFill="1" applyBorder="1" applyAlignment="1">
      <alignment horizontal="center"/>
    </xf>
    <xf numFmtId="0" fontId="58" fillId="9" borderId="2" xfId="0" applyFont="1" applyFill="1" applyBorder="1" applyAlignment="1">
      <alignment horizontal="center"/>
    </xf>
    <xf numFmtId="0" fontId="58" fillId="9" borderId="0" xfId="0" applyFont="1" applyFill="1" applyAlignment="1">
      <alignment horizontal="center"/>
    </xf>
    <xf numFmtId="0" fontId="58" fillId="9" borderId="3" xfId="0" applyFont="1" applyFill="1" applyBorder="1" applyAlignment="1">
      <alignment horizontal="center"/>
    </xf>
    <xf numFmtId="0" fontId="58" fillId="4" borderId="0" xfId="0" applyFont="1" applyFill="1" applyAlignment="1">
      <alignment horizontal="left"/>
    </xf>
    <xf numFmtId="0" fontId="9" fillId="2" borderId="6" xfId="0" applyFont="1" applyFill="1" applyBorder="1"/>
    <xf numFmtId="0" fontId="9" fillId="2" borderId="7" xfId="0" applyFont="1" applyFill="1" applyBorder="1"/>
    <xf numFmtId="14" fontId="9" fillId="2" borderId="7" xfId="0" applyNumberFormat="1" applyFont="1" applyFill="1" applyBorder="1" applyAlignment="1">
      <alignment horizontal="right"/>
    </xf>
    <xf numFmtId="0" fontId="7" fillId="0" borderId="29" xfId="0" applyFont="1" applyBorder="1" applyAlignment="1">
      <alignment horizontal="right"/>
    </xf>
    <xf numFmtId="0" fontId="9" fillId="2" borderId="1" xfId="0" applyFont="1" applyFill="1" applyBorder="1" applyAlignment="1">
      <alignment horizontal="right"/>
    </xf>
    <xf numFmtId="0" fontId="9" fillId="2" borderId="5" xfId="0" applyFont="1" applyFill="1" applyBorder="1" applyAlignment="1">
      <alignment horizontal="right"/>
    </xf>
  </cellXfs>
  <cellStyles count="53">
    <cellStyle name="20% - Accent1 2" xfId="23" xr:uid="{00000000-0005-0000-0000-000000000000}"/>
    <cellStyle name="20% - Accent2 2" xfId="27" xr:uid="{00000000-0005-0000-0000-000001000000}"/>
    <cellStyle name="20% - Accent3 2" xfId="31" xr:uid="{00000000-0005-0000-0000-000002000000}"/>
    <cellStyle name="20% - Accent4 2" xfId="35" xr:uid="{00000000-0005-0000-0000-000003000000}"/>
    <cellStyle name="20% - Accent5 2" xfId="39" xr:uid="{00000000-0005-0000-0000-000004000000}"/>
    <cellStyle name="20% - Accent6 2" xfId="43" xr:uid="{00000000-0005-0000-0000-000005000000}"/>
    <cellStyle name="40% - Accent1 2" xfId="24" xr:uid="{00000000-0005-0000-0000-000006000000}"/>
    <cellStyle name="40% - Accent2 2" xfId="28" xr:uid="{00000000-0005-0000-0000-000007000000}"/>
    <cellStyle name="40% - Accent3 2" xfId="32" xr:uid="{00000000-0005-0000-0000-000008000000}"/>
    <cellStyle name="40% - Accent4 2" xfId="36" xr:uid="{00000000-0005-0000-0000-000009000000}"/>
    <cellStyle name="40% - Accent5 2" xfId="40" xr:uid="{00000000-0005-0000-0000-00000A000000}"/>
    <cellStyle name="40% - Accent6 2" xfId="44" xr:uid="{00000000-0005-0000-0000-00000B000000}"/>
    <cellStyle name="60% - Accent1 2" xfId="25" xr:uid="{00000000-0005-0000-0000-00000C000000}"/>
    <cellStyle name="60% - Accent2 2" xfId="29" xr:uid="{00000000-0005-0000-0000-00000D000000}"/>
    <cellStyle name="60% - Accent3 2" xfId="33" xr:uid="{00000000-0005-0000-0000-00000E000000}"/>
    <cellStyle name="60% - Accent4 2" xfId="37" xr:uid="{00000000-0005-0000-0000-00000F000000}"/>
    <cellStyle name="60% - Accent5 2" xfId="41" xr:uid="{00000000-0005-0000-0000-000010000000}"/>
    <cellStyle name="60% - Accent6 2" xfId="45" xr:uid="{00000000-0005-0000-0000-000011000000}"/>
    <cellStyle name="Accent1 2" xfId="22" xr:uid="{00000000-0005-0000-0000-000012000000}"/>
    <cellStyle name="Accent2 2" xfId="26" xr:uid="{00000000-0005-0000-0000-000013000000}"/>
    <cellStyle name="Accent3 2" xfId="30" xr:uid="{00000000-0005-0000-0000-000014000000}"/>
    <cellStyle name="Accent4 2" xfId="34" xr:uid="{00000000-0005-0000-0000-000015000000}"/>
    <cellStyle name="Accent5 2" xfId="38" xr:uid="{00000000-0005-0000-0000-000016000000}"/>
    <cellStyle name="Accent6 2" xfId="42" xr:uid="{00000000-0005-0000-0000-000017000000}"/>
    <cellStyle name="Bad 2" xfId="11" xr:uid="{00000000-0005-0000-0000-000018000000}"/>
    <cellStyle name="Calculation 2" xfId="15" xr:uid="{00000000-0005-0000-0000-000019000000}"/>
    <cellStyle name="Check Cell 2" xfId="17" xr:uid="{00000000-0005-0000-0000-00001A000000}"/>
    <cellStyle name="Comma 2" xfId="49" xr:uid="{00000000-0005-0000-0000-00001B000000}"/>
    <cellStyle name="Currency" xfId="52" builtinId="4"/>
    <cellStyle name="Explanatory Text 2" xfId="20" xr:uid="{00000000-0005-0000-0000-00001D000000}"/>
    <cellStyle name="Good 2" xfId="10" xr:uid="{00000000-0005-0000-0000-00001E000000}"/>
    <cellStyle name="Heading 1 2" xfId="6" xr:uid="{00000000-0005-0000-0000-00001F000000}"/>
    <cellStyle name="Heading 2 2" xfId="7" xr:uid="{00000000-0005-0000-0000-000020000000}"/>
    <cellStyle name="Heading 3 2" xfId="8" xr:uid="{00000000-0005-0000-0000-000021000000}"/>
    <cellStyle name="Heading 4 2" xfId="9" xr:uid="{00000000-0005-0000-0000-000022000000}"/>
    <cellStyle name="Hyperlink" xfId="47" builtinId="8"/>
    <cellStyle name="Input 2" xfId="13" xr:uid="{00000000-0005-0000-0000-000024000000}"/>
    <cellStyle name="Linked Cell 2" xfId="16" xr:uid="{00000000-0005-0000-0000-000025000000}"/>
    <cellStyle name="Neutral 2" xfId="12" xr:uid="{00000000-0005-0000-0000-000026000000}"/>
    <cellStyle name="Normal" xfId="0" builtinId="0"/>
    <cellStyle name="Normal 2" xfId="2" xr:uid="{00000000-0005-0000-0000-000028000000}"/>
    <cellStyle name="Normal 2 2" xfId="50" xr:uid="{00000000-0005-0000-0000-000029000000}"/>
    <cellStyle name="Normal 3" xfId="3" xr:uid="{00000000-0005-0000-0000-00002A000000}"/>
    <cellStyle name="Normal 4" xfId="5" xr:uid="{00000000-0005-0000-0000-00002B000000}"/>
    <cellStyle name="Normal 5" xfId="46" xr:uid="{00000000-0005-0000-0000-00002C000000}"/>
    <cellStyle name="Normal 6" xfId="48" xr:uid="{00000000-0005-0000-0000-00002D000000}"/>
    <cellStyle name="Note 2" xfId="19" xr:uid="{00000000-0005-0000-0000-00002E000000}"/>
    <cellStyle name="Output 2" xfId="14" xr:uid="{00000000-0005-0000-0000-00002F000000}"/>
    <cellStyle name="Percent" xfId="1" builtinId="5"/>
    <cellStyle name="Percent 2" xfId="51" xr:uid="{00000000-0005-0000-0000-000031000000}"/>
    <cellStyle name="Title" xfId="4" builtinId="15" customBuiltin="1"/>
    <cellStyle name="Total 2" xfId="21" xr:uid="{00000000-0005-0000-0000-000033000000}"/>
    <cellStyle name="Warning Text 2" xfId="18" xr:uid="{00000000-0005-0000-0000-000034000000}"/>
  </cellStyles>
  <dxfs count="0"/>
  <tableStyles count="0" defaultTableStyle="TableStyleMedium2" defaultPivotStyle="PivotStyleLight16"/>
  <colors>
    <mruColors>
      <color rgb="FFFF5050"/>
      <color rgb="FFDDD9C4"/>
      <color rgb="FFC4BD97"/>
      <color rgb="FFFFFF66"/>
      <color rgb="FF006600"/>
      <color rgb="FFFFFF99"/>
      <color rgb="FFEE0000"/>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61430813708017"/>
          <c:y val="6.4516274203165955E-2"/>
          <c:w val="0.81848448614275904"/>
          <c:h val="0.70507071093459939"/>
        </c:manualLayout>
      </c:layout>
      <c:lineChart>
        <c:grouping val="standard"/>
        <c:varyColors val="0"/>
        <c:ser>
          <c:idx val="0"/>
          <c:order val="0"/>
          <c:spPr>
            <a:ln w="25400">
              <a:solidFill>
                <a:schemeClr val="bg2">
                  <a:lumMod val="50000"/>
                </a:schemeClr>
              </a:solidFill>
              <a:prstDash val="solid"/>
            </a:ln>
          </c:spPr>
          <c:marker>
            <c:symbol val="circle"/>
            <c:size val="6"/>
            <c:spPr>
              <a:solidFill>
                <a:schemeClr val="bg2">
                  <a:lumMod val="50000"/>
                </a:schemeClr>
              </a:solidFill>
              <a:ln>
                <a:solidFill>
                  <a:schemeClr val="bg2">
                    <a:lumMod val="50000"/>
                  </a:schemeClr>
                </a:solidFill>
              </a:ln>
            </c:spPr>
          </c:marker>
          <c:dLbls>
            <c:dLbl>
              <c:idx val="0"/>
              <c:layout>
                <c:manualLayout>
                  <c:x val="-5.0182341068752565E-2"/>
                  <c:y val="-6.763525527051055E-2"/>
                </c:manualLayout>
              </c:layout>
              <c:numFmt formatCode="0.0%" sourceLinked="0"/>
              <c:spPr>
                <a:solidFill>
                  <a:srgbClr val="FFFFFF"/>
                </a:solidFill>
                <a:ln w="25400">
                  <a:noFill/>
                </a:ln>
              </c:spPr>
              <c:txPr>
                <a:bodyPr/>
                <a:lstStyle/>
                <a:p>
                  <a:pPr>
                    <a:defRPr b="1"/>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8D3-4E13-830C-EF041424C2E2}"/>
                </c:ext>
              </c:extLst>
            </c:dLbl>
            <c:dLbl>
              <c:idx val="12"/>
              <c:layout>
                <c:manualLayout>
                  <c:x val="-1.8017203295132664E-2"/>
                  <c:y val="6.5237490474980953E-2"/>
                </c:manualLayout>
              </c:layout>
              <c:numFmt formatCode="0.0%" sourceLinked="0"/>
              <c:spPr>
                <a:solidFill>
                  <a:srgbClr val="FFFFFF"/>
                </a:solidFill>
                <a:ln w="25400">
                  <a:noFill/>
                </a:ln>
              </c:spPr>
              <c:txPr>
                <a:bodyPr/>
                <a:lstStyle/>
                <a:p>
                  <a:pPr>
                    <a:defRPr b="1"/>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8D3-4E13-830C-EF041424C2E2}"/>
                </c:ext>
              </c:extLst>
            </c:dLbl>
            <c:spPr>
              <a:noFill/>
              <a:ln>
                <a:noFill/>
              </a:ln>
              <a:effectLst/>
            </c:spPr>
            <c:txPr>
              <a:bodyPr/>
              <a:lstStyle/>
              <a:p>
                <a:pPr>
                  <a:defRPr b="1"/>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LaborForce!$Q$65:$Q$77</c:f>
              <c:strCache>
                <c:ptCount val="13"/>
                <c:pt idx="0">
                  <c:v>Sep-23</c:v>
                </c:pt>
                <c:pt idx="1">
                  <c:v>Oct-23</c:v>
                </c:pt>
                <c:pt idx="2">
                  <c:v>Nov-23</c:v>
                </c:pt>
                <c:pt idx="3">
                  <c:v>Dec-23</c:v>
                </c:pt>
                <c:pt idx="4">
                  <c:v>Jan-24</c:v>
                </c:pt>
                <c:pt idx="5">
                  <c:v>Feb-24</c:v>
                </c:pt>
                <c:pt idx="6">
                  <c:v>Mar-24</c:v>
                </c:pt>
                <c:pt idx="7">
                  <c:v>Apr-24</c:v>
                </c:pt>
                <c:pt idx="8">
                  <c:v>May-24</c:v>
                </c:pt>
                <c:pt idx="9">
                  <c:v>Jun-24</c:v>
                </c:pt>
                <c:pt idx="10">
                  <c:v>Jul-24</c:v>
                </c:pt>
                <c:pt idx="11">
                  <c:v>Aug-24</c:v>
                </c:pt>
                <c:pt idx="12">
                  <c:v>Sep-24</c:v>
                </c:pt>
              </c:strCache>
            </c:strRef>
          </c:cat>
          <c:val>
            <c:numRef>
              <c:f>LaborForce!$R$65:$R$77</c:f>
              <c:numCache>
                <c:formatCode>0.0%</c:formatCode>
                <c:ptCount val="13"/>
                <c:pt idx="0">
                  <c:v>3.5999999999999997E-2</c:v>
                </c:pt>
                <c:pt idx="1">
                  <c:v>3.5999999999999997E-2</c:v>
                </c:pt>
                <c:pt idx="2">
                  <c:v>3.5000000000000003E-2</c:v>
                </c:pt>
                <c:pt idx="3">
                  <c:v>3.5000000000000003E-2</c:v>
                </c:pt>
                <c:pt idx="4">
                  <c:v>4.1000000000000002E-2</c:v>
                </c:pt>
                <c:pt idx="5">
                  <c:v>4.2000000000000003E-2</c:v>
                </c:pt>
                <c:pt idx="6">
                  <c:v>3.9E-2</c:v>
                </c:pt>
                <c:pt idx="7">
                  <c:v>3.5000000000000003E-2</c:v>
                </c:pt>
                <c:pt idx="8">
                  <c:v>3.6999999999999998E-2</c:v>
                </c:pt>
                <c:pt idx="9">
                  <c:v>4.2999999999999997E-2</c:v>
                </c:pt>
                <c:pt idx="10">
                  <c:v>4.4999999999999998E-2</c:v>
                </c:pt>
                <c:pt idx="11">
                  <c:v>4.3999999999999997E-2</c:v>
                </c:pt>
                <c:pt idx="12">
                  <c:v>3.9E-2</c:v>
                </c:pt>
              </c:numCache>
            </c:numRef>
          </c:val>
          <c:smooth val="0"/>
          <c:extLst>
            <c:ext xmlns:c16="http://schemas.microsoft.com/office/drawing/2014/chart" uri="{C3380CC4-5D6E-409C-BE32-E72D297353CC}">
              <c16:uniqueId val="{00000002-38D3-4E13-830C-EF041424C2E2}"/>
            </c:ext>
          </c:extLst>
        </c:ser>
        <c:dLbls>
          <c:showLegendKey val="0"/>
          <c:showVal val="0"/>
          <c:showCatName val="0"/>
          <c:showSerName val="0"/>
          <c:showPercent val="0"/>
          <c:showBubbleSize val="0"/>
        </c:dLbls>
        <c:marker val="1"/>
        <c:smooth val="0"/>
        <c:axId val="91750784"/>
        <c:axId val="91752320"/>
      </c:lineChart>
      <c:dateAx>
        <c:axId val="91750784"/>
        <c:scaling>
          <c:orientation val="minMax"/>
        </c:scaling>
        <c:delete val="0"/>
        <c:axPos val="b"/>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91752320"/>
        <c:crossesAt val="0"/>
        <c:auto val="1"/>
        <c:lblOffset val="100"/>
        <c:baseTimeUnit val="months"/>
        <c:majorUnit val="1"/>
        <c:majorTimeUnit val="months"/>
        <c:minorUnit val="1"/>
        <c:minorTimeUnit val="months"/>
      </c:dateAx>
      <c:valAx>
        <c:axId val="91752320"/>
        <c:scaling>
          <c:orientation val="minMax"/>
          <c:min val="0"/>
        </c:scaling>
        <c:delete val="0"/>
        <c:axPos val="l"/>
        <c:majorGridlines>
          <c:spPr>
            <a:ln w="3175">
              <a:solidFill>
                <a:srgbClr val="808080"/>
              </a:solidFill>
              <a:prstDash val="sysDash"/>
            </a:ln>
          </c:spPr>
        </c:majorGridlines>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91750784"/>
        <c:crosses val="autoZero"/>
        <c:crossBetween val="between"/>
        <c:majorUnit val="2.5000000000000005E-2"/>
        <c:minorUnit val="5.000000000000001E-3"/>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mn-lt"/>
          <a:ea typeface="Arial"/>
          <a:cs typeface="Arial"/>
        </a:defRPr>
      </a:pPr>
      <a:endParaRPr lang="en-US"/>
    </a:p>
  </c:txPr>
  <c:printSettings>
    <c:headerFooter alignWithMargins="0"/>
    <c:pageMargins b="1" l="0.75" r="0.75"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n-lt"/>
                <a:ea typeface="Tahoma"/>
                <a:cs typeface="Tahoma"/>
              </a:defRPr>
            </a:pPr>
            <a:r>
              <a:rPr lang="en-US" sz="1000">
                <a:latin typeface="+mn-lt"/>
              </a:rPr>
              <a:t>Initial Claims</a:t>
            </a:r>
          </a:p>
        </c:rich>
      </c:tx>
      <c:layout>
        <c:manualLayout>
          <c:xMode val="edge"/>
          <c:yMode val="edge"/>
          <c:x val="0.33061224489795921"/>
          <c:y val="3.9215836457707022E-2"/>
        </c:manualLayout>
      </c:layout>
      <c:overlay val="0"/>
      <c:spPr>
        <a:noFill/>
        <a:ln w="25400">
          <a:noFill/>
        </a:ln>
      </c:spPr>
    </c:title>
    <c:autoTitleDeleted val="0"/>
    <c:plotArea>
      <c:layout>
        <c:manualLayout>
          <c:layoutTarget val="inner"/>
          <c:xMode val="edge"/>
          <c:yMode val="edge"/>
          <c:x val="0.15918367346938775"/>
          <c:y val="0.14902017853928667"/>
          <c:w val="0.81496598639455786"/>
          <c:h val="0.65490446884370723"/>
        </c:manualLayout>
      </c:layout>
      <c:lineChart>
        <c:grouping val="standard"/>
        <c:varyColors val="0"/>
        <c:ser>
          <c:idx val="0"/>
          <c:order val="0"/>
          <c:spPr>
            <a:ln w="25400">
              <a:solidFill>
                <a:schemeClr val="bg2">
                  <a:lumMod val="50000"/>
                </a:schemeClr>
              </a:solidFill>
              <a:prstDash val="solid"/>
            </a:ln>
          </c:spPr>
          <c:marker>
            <c:symbol val="circle"/>
            <c:size val="6"/>
            <c:spPr>
              <a:solidFill>
                <a:schemeClr val="bg2">
                  <a:lumMod val="50000"/>
                </a:schemeClr>
              </a:solidFill>
              <a:ln>
                <a:solidFill>
                  <a:schemeClr val="bg2">
                    <a:lumMod val="50000"/>
                  </a:schemeClr>
                </a:solidFill>
                <a:prstDash val="solid"/>
              </a:ln>
            </c:spPr>
          </c:marker>
          <c:dLbls>
            <c:dLbl>
              <c:idx val="0"/>
              <c:layout>
                <c:manualLayout>
                  <c:x val="-6.234249290267288E-2"/>
                  <c:y val="4.986259070557357E-2"/>
                </c:manualLayout>
              </c:layout>
              <c:spPr>
                <a:solidFill>
                  <a:srgbClr val="FFFFFF"/>
                </a:solidFill>
                <a:ln w="25400">
                  <a:noFill/>
                </a:ln>
              </c:spPr>
              <c:txPr>
                <a:bodyPr/>
                <a:lstStyle/>
                <a:p>
                  <a:pPr>
                    <a:defRPr sz="900" b="1" i="0" u="none" strike="noStrike" baseline="0">
                      <a:solidFill>
                        <a:srgbClr val="000000"/>
                      </a:solidFill>
                      <a:latin typeface="+mn-lt"/>
                      <a:ea typeface="Tahoma"/>
                      <a:cs typeface="Tahoma"/>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5F7-4E83-BEAD-B814FA84A452}"/>
                </c:ext>
              </c:extLst>
            </c:dLbl>
            <c:dLbl>
              <c:idx val="12"/>
              <c:layout>
                <c:manualLayout>
                  <c:x val="-4.9879479350805418E-4"/>
                  <c:y val="5.0575472183624008E-2"/>
                </c:manualLayout>
              </c:layout>
              <c:spPr>
                <a:solidFill>
                  <a:srgbClr val="FFFFFF"/>
                </a:solidFill>
                <a:ln w="25400">
                  <a:noFill/>
                </a:ln>
              </c:spPr>
              <c:txPr>
                <a:bodyPr/>
                <a:lstStyle/>
                <a:p>
                  <a:pPr>
                    <a:defRPr sz="900" b="1" i="0" u="none" strike="noStrike" baseline="0">
                      <a:solidFill>
                        <a:srgbClr val="000000"/>
                      </a:solidFill>
                      <a:latin typeface="+mn-lt"/>
                      <a:ea typeface="Tahoma"/>
                      <a:cs typeface="Tahoma"/>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manualLayout>
                      <c:w val="0.18018961915474851"/>
                      <c:h val="7.3124388863156795E-2"/>
                    </c:manualLayout>
                  </c15:layout>
                </c:ext>
                <c:ext xmlns:c16="http://schemas.microsoft.com/office/drawing/2014/chart" uri="{C3380CC4-5D6E-409C-BE32-E72D297353CC}">
                  <c16:uniqueId val="{00000001-F5F7-4E83-BEAD-B814FA84A452}"/>
                </c:ext>
              </c:extLst>
            </c:dLbl>
            <c:spPr>
              <a:solidFill>
                <a:srgbClr val="FFFFFF"/>
              </a:solidFill>
            </c:spPr>
            <c:txPr>
              <a:bodyPr/>
              <a:lstStyle/>
              <a:p>
                <a:pPr>
                  <a:defRPr sz="900" b="1">
                    <a:latin typeface="+mn-lt"/>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Report!$B$73:$B$85</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Report!$C$73:$C$85</c:f>
              <c:numCache>
                <c:formatCode>#,##0</c:formatCode>
                <c:ptCount val="13"/>
                <c:pt idx="0">
                  <c:v>1429</c:v>
                </c:pt>
                <c:pt idx="1">
                  <c:v>1605</c:v>
                </c:pt>
                <c:pt idx="2">
                  <c:v>1853</c:v>
                </c:pt>
                <c:pt idx="3">
                  <c:v>2505</c:v>
                </c:pt>
                <c:pt idx="4">
                  <c:v>2471</c:v>
                </c:pt>
                <c:pt idx="5">
                  <c:v>2398</c:v>
                </c:pt>
                <c:pt idx="6">
                  <c:v>1906</c:v>
                </c:pt>
                <c:pt idx="7">
                  <c:v>2188</c:v>
                </c:pt>
                <c:pt idx="8">
                  <c:v>1572</c:v>
                </c:pt>
                <c:pt idx="9">
                  <c:v>2133</c:v>
                </c:pt>
                <c:pt idx="10">
                  <c:v>1445</c:v>
                </c:pt>
                <c:pt idx="11">
                  <c:v>1965</c:v>
                </c:pt>
                <c:pt idx="12">
                  <c:v>1454</c:v>
                </c:pt>
              </c:numCache>
            </c:numRef>
          </c:val>
          <c:smooth val="0"/>
          <c:extLst>
            <c:ext xmlns:c16="http://schemas.microsoft.com/office/drawing/2014/chart" uri="{C3380CC4-5D6E-409C-BE32-E72D297353CC}">
              <c16:uniqueId val="{00000002-F5F7-4E83-BEAD-B814FA84A452}"/>
            </c:ext>
          </c:extLst>
        </c:ser>
        <c:dLbls>
          <c:showLegendKey val="0"/>
          <c:showVal val="0"/>
          <c:showCatName val="0"/>
          <c:showSerName val="0"/>
          <c:showPercent val="0"/>
          <c:showBubbleSize val="0"/>
        </c:dLbls>
        <c:marker val="1"/>
        <c:smooth val="0"/>
        <c:axId val="91781760"/>
        <c:axId val="91808128"/>
      </c:lineChart>
      <c:dateAx>
        <c:axId val="91781760"/>
        <c:scaling>
          <c:orientation val="minMax"/>
        </c:scaling>
        <c:delete val="0"/>
        <c:axPos val="b"/>
        <c:numFmt formatCode="mmm\-yy"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mn-lt"/>
                <a:ea typeface="Tahoma"/>
                <a:cs typeface="Tahoma"/>
              </a:defRPr>
            </a:pPr>
            <a:endParaRPr lang="en-US"/>
          </a:p>
        </c:txPr>
        <c:crossAx val="91808128"/>
        <c:crosses val="autoZero"/>
        <c:auto val="1"/>
        <c:lblOffset val="100"/>
        <c:baseTimeUnit val="months"/>
        <c:majorUnit val="2"/>
        <c:majorTimeUnit val="months"/>
        <c:minorUnit val="1"/>
        <c:minorTimeUnit val="months"/>
      </c:dateAx>
      <c:valAx>
        <c:axId val="91808128"/>
        <c:scaling>
          <c:orientation val="minMax"/>
        </c:scaling>
        <c:delete val="0"/>
        <c:axPos val="l"/>
        <c:majorGridlines>
          <c:spPr>
            <a:ln w="3175">
              <a:solidFill>
                <a:srgbClr val="80808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mn-lt"/>
                <a:ea typeface="Tahoma"/>
                <a:cs typeface="Tahoma"/>
              </a:defRPr>
            </a:pPr>
            <a:endParaRPr lang="en-US"/>
          </a:p>
        </c:txPr>
        <c:crossAx val="91781760"/>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4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n-lt"/>
                <a:ea typeface="Tahoma"/>
                <a:cs typeface="Tahoma"/>
              </a:defRPr>
            </a:pPr>
            <a:r>
              <a:rPr lang="en-US" sz="1000">
                <a:latin typeface="+mn-lt"/>
              </a:rPr>
              <a:t>Continued Weeks Claimed</a:t>
            </a:r>
          </a:p>
        </c:rich>
      </c:tx>
      <c:layout>
        <c:manualLayout>
          <c:xMode val="edge"/>
          <c:yMode val="edge"/>
          <c:x val="0.26045926445429141"/>
          <c:y val="3.9215686274509803E-2"/>
        </c:manualLayout>
      </c:layout>
      <c:overlay val="0"/>
      <c:spPr>
        <a:noFill/>
        <a:ln w="25400">
          <a:noFill/>
        </a:ln>
      </c:spPr>
    </c:title>
    <c:autoTitleDeleted val="0"/>
    <c:plotArea>
      <c:layout>
        <c:manualLayout>
          <c:layoutTarget val="inner"/>
          <c:xMode val="edge"/>
          <c:yMode val="edge"/>
          <c:x val="0.18456735418194184"/>
          <c:y val="0.1686280967681402"/>
          <c:w val="0.78844209251171538"/>
          <c:h val="0.63529655061485379"/>
        </c:manualLayout>
      </c:layout>
      <c:lineChart>
        <c:grouping val="standard"/>
        <c:varyColors val="0"/>
        <c:ser>
          <c:idx val="0"/>
          <c:order val="0"/>
          <c:spPr>
            <a:ln w="25400">
              <a:solidFill>
                <a:schemeClr val="bg2">
                  <a:lumMod val="50000"/>
                </a:schemeClr>
              </a:solidFill>
              <a:prstDash val="solid"/>
            </a:ln>
          </c:spPr>
          <c:marker>
            <c:symbol val="circle"/>
            <c:size val="6"/>
            <c:spPr>
              <a:solidFill>
                <a:schemeClr val="bg2">
                  <a:lumMod val="50000"/>
                </a:schemeClr>
              </a:solidFill>
              <a:ln>
                <a:solidFill>
                  <a:schemeClr val="bg2">
                    <a:lumMod val="50000"/>
                  </a:schemeClr>
                </a:solidFill>
                <a:prstDash val="solid"/>
              </a:ln>
            </c:spPr>
          </c:marker>
          <c:dLbls>
            <c:dLbl>
              <c:idx val="0"/>
              <c:layout>
                <c:manualLayout>
                  <c:x val="-5.714728978715717E-2"/>
                  <c:y val="-6.0082136791724659E-2"/>
                </c:manualLayout>
              </c:layout>
              <c:spPr>
                <a:solidFill>
                  <a:srgbClr val="FFFFFF"/>
                </a:solidFill>
                <a:ln w="25400">
                  <a:noFill/>
                </a:ln>
              </c:spPr>
              <c:txPr>
                <a:bodyPr/>
                <a:lstStyle/>
                <a:p>
                  <a:pPr>
                    <a:defRPr sz="900" b="1" i="0" u="none" strike="noStrike" baseline="0">
                      <a:solidFill>
                        <a:srgbClr val="000000"/>
                      </a:solidFill>
                      <a:latin typeface="+mn-lt"/>
                      <a:ea typeface="Tahoma"/>
                      <a:cs typeface="Tahoma"/>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7D8-4372-B2F0-40E9CCC28148}"/>
                </c:ext>
              </c:extLst>
            </c:dLbl>
            <c:dLbl>
              <c:idx val="12"/>
              <c:layout>
                <c:manualLayout>
                  <c:x val="-1.6194331983805765E-2"/>
                  <c:y val="-8.0818691781174415E-2"/>
                </c:manualLayout>
              </c:layout>
              <c:spPr>
                <a:solidFill>
                  <a:srgbClr val="FFFFFF"/>
                </a:solidFill>
                <a:ln w="25400">
                  <a:noFill/>
                </a:ln>
              </c:spPr>
              <c:txPr>
                <a:bodyPr/>
                <a:lstStyle/>
                <a:p>
                  <a:pPr>
                    <a:defRPr sz="900" b="1" i="0" u="none" strike="noStrike" baseline="0">
                      <a:solidFill>
                        <a:srgbClr val="000000"/>
                      </a:solidFill>
                      <a:latin typeface="+mn-lt"/>
                      <a:ea typeface="Tahoma"/>
                      <a:cs typeface="Tahoma"/>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manualLayout>
                      <c:w val="0.19260458839406208"/>
                      <c:h val="6.2666872523287523E-2"/>
                    </c:manualLayout>
                  </c15:layout>
                </c:ext>
                <c:ext xmlns:c16="http://schemas.microsoft.com/office/drawing/2014/chart" uri="{C3380CC4-5D6E-409C-BE32-E72D297353CC}">
                  <c16:uniqueId val="{00000001-67D8-4372-B2F0-40E9CCC28148}"/>
                </c:ext>
              </c:extLst>
            </c:dLbl>
            <c:spPr>
              <a:solidFill>
                <a:srgbClr val="FFFFFF"/>
              </a:solidFill>
            </c:spPr>
            <c:txPr>
              <a:bodyPr/>
              <a:lstStyle/>
              <a:p>
                <a:pPr>
                  <a:defRPr sz="900" b="1">
                    <a:latin typeface="+mn-lt"/>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Report!$B$73:$B$85</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Report!$D$73:$D$85</c:f>
              <c:numCache>
                <c:formatCode>#,##0</c:formatCode>
                <c:ptCount val="13"/>
                <c:pt idx="0">
                  <c:v>9899</c:v>
                </c:pt>
                <c:pt idx="1">
                  <c:v>11277</c:v>
                </c:pt>
                <c:pt idx="2">
                  <c:v>11150</c:v>
                </c:pt>
                <c:pt idx="3">
                  <c:v>12049</c:v>
                </c:pt>
                <c:pt idx="4">
                  <c:v>15796</c:v>
                </c:pt>
                <c:pt idx="5">
                  <c:v>14798</c:v>
                </c:pt>
                <c:pt idx="6">
                  <c:v>15218</c:v>
                </c:pt>
                <c:pt idx="7">
                  <c:v>14347</c:v>
                </c:pt>
                <c:pt idx="8">
                  <c:v>12061</c:v>
                </c:pt>
                <c:pt idx="9">
                  <c:v>11606</c:v>
                </c:pt>
                <c:pt idx="10">
                  <c:v>14786</c:v>
                </c:pt>
                <c:pt idx="11">
                  <c:v>14861</c:v>
                </c:pt>
                <c:pt idx="12">
                  <c:v>13068</c:v>
                </c:pt>
              </c:numCache>
            </c:numRef>
          </c:val>
          <c:smooth val="0"/>
          <c:extLst>
            <c:ext xmlns:c16="http://schemas.microsoft.com/office/drawing/2014/chart" uri="{C3380CC4-5D6E-409C-BE32-E72D297353CC}">
              <c16:uniqueId val="{00000002-67D8-4372-B2F0-40E9CCC28148}"/>
            </c:ext>
          </c:extLst>
        </c:ser>
        <c:dLbls>
          <c:showLegendKey val="0"/>
          <c:showVal val="0"/>
          <c:showCatName val="0"/>
          <c:showSerName val="0"/>
          <c:showPercent val="0"/>
          <c:showBubbleSize val="0"/>
        </c:dLbls>
        <c:marker val="1"/>
        <c:smooth val="0"/>
        <c:axId val="95569408"/>
        <c:axId val="95570944"/>
      </c:lineChart>
      <c:dateAx>
        <c:axId val="95569408"/>
        <c:scaling>
          <c:orientation val="minMax"/>
        </c:scaling>
        <c:delete val="0"/>
        <c:axPos val="b"/>
        <c:numFmt formatCode="mmm\-yy"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mn-lt"/>
                <a:ea typeface="Tahoma"/>
                <a:cs typeface="Tahoma"/>
              </a:defRPr>
            </a:pPr>
            <a:endParaRPr lang="en-US"/>
          </a:p>
        </c:txPr>
        <c:crossAx val="95570944"/>
        <c:crosses val="autoZero"/>
        <c:auto val="1"/>
        <c:lblOffset val="100"/>
        <c:baseTimeUnit val="months"/>
        <c:majorUnit val="2"/>
        <c:majorTimeUnit val="months"/>
        <c:minorUnit val="1"/>
        <c:minorTimeUnit val="months"/>
      </c:dateAx>
      <c:valAx>
        <c:axId val="95570944"/>
        <c:scaling>
          <c:orientation val="minMax"/>
        </c:scaling>
        <c:delete val="0"/>
        <c:axPos val="l"/>
        <c:majorGridlines>
          <c:spPr>
            <a:ln w="3175">
              <a:solidFill>
                <a:srgbClr val="80808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mn-lt"/>
                <a:ea typeface="Tahoma"/>
                <a:cs typeface="Tahoma"/>
              </a:defRPr>
            </a:pPr>
            <a:endParaRPr lang="en-US"/>
          </a:p>
        </c:txPr>
        <c:crossAx val="95569408"/>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4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8713614188057"/>
          <c:y val="1.4861995753715499E-2"/>
          <c:w val="0.71120156590595662"/>
          <c:h val="0.82936957721049198"/>
        </c:manualLayout>
      </c:layout>
      <c:barChart>
        <c:barDir val="bar"/>
        <c:grouping val="clustered"/>
        <c:varyColors val="0"/>
        <c:ser>
          <c:idx val="0"/>
          <c:order val="0"/>
          <c:spPr>
            <a:gradFill>
              <a:gsLst>
                <a:gs pos="0">
                  <a:schemeClr val="bg2">
                    <a:lumMod val="50000"/>
                  </a:schemeClr>
                </a:gs>
                <a:gs pos="50000">
                  <a:schemeClr val="bg2">
                    <a:lumMod val="75000"/>
                  </a:schemeClr>
                </a:gs>
                <a:gs pos="100000">
                  <a:schemeClr val="bg2">
                    <a:lumMod val="50000"/>
                  </a:schemeClr>
                </a:gs>
              </a:gsLst>
              <a:lin ang="5400000" scaled="1"/>
            </a:gradFill>
            <a:ln w="12700">
              <a:solidFill>
                <a:srgbClr val="000000"/>
              </a:solidFill>
              <a:prstDash val="solid"/>
            </a:ln>
          </c:spPr>
          <c:invertIfNegative val="0"/>
          <c:dLbls>
            <c:dLbl>
              <c:idx val="0"/>
              <c:layout>
                <c:manualLayout>
                  <c:x val="2.3725847828343491E-6"/>
                  <c:y val="-1.556952997668687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5A9-4439-989F-3BC4DD414D19}"/>
                </c:ext>
              </c:extLst>
            </c:dLbl>
            <c:dLbl>
              <c:idx val="1"/>
              <c:layout>
                <c:manualLayout>
                  <c:x val="-1.1299435028248657E-2"/>
                  <c:y val="-7.7847649883434352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F8F-4C02-96B7-9F14C5893404}"/>
                </c:ext>
              </c:extLst>
            </c:dLbl>
            <c:dLbl>
              <c:idx val="3"/>
              <c:layout>
                <c:manualLayout>
                  <c:x val="-3.7646989041624033E-3"/>
                  <c:y val="8.492569002123142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5A9-4439-989F-3BC4DD414D19}"/>
                </c:ext>
              </c:extLst>
            </c:dLbl>
            <c:dLbl>
              <c:idx val="4"/>
              <c:layout>
                <c:manualLayout>
                  <c:x val="-1.4715957115530051E-3"/>
                  <c:y val="-6.6870622062015555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5A9-4439-989F-3BC4DD414D19}"/>
                </c:ext>
              </c:extLst>
            </c:dLbl>
            <c:dLbl>
              <c:idx val="5"/>
              <c:layout>
                <c:manualLayout>
                  <c:x val="-7.532956685499196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F84-45E2-880E-31659D8D2F37}"/>
                </c:ext>
              </c:extLst>
            </c:dLbl>
            <c:spPr>
              <a:solidFill>
                <a:srgbClr val="FFFFFF"/>
              </a:solidFill>
              <a:ln w="25400">
                <a:noFill/>
              </a:ln>
              <a:effectLst/>
            </c:spPr>
            <c:txPr>
              <a:bodyPr/>
              <a:lstStyle/>
              <a:p>
                <a:pPr>
                  <a:defRPr sz="800" b="1" i="0" u="none" strike="noStrike" baseline="0">
                    <a:solidFill>
                      <a:srgbClr val="000000"/>
                    </a:solidFill>
                    <a:latin typeface="+mn-lt"/>
                    <a:ea typeface="Tahoma"/>
                    <a:cs typeface="Tahoma"/>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CPI!$A$8:$A$13</c:f>
              <c:strCache>
                <c:ptCount val="6"/>
                <c:pt idx="0">
                  <c:v>Transportation</c:v>
                </c:pt>
                <c:pt idx="1">
                  <c:v>Medical Care</c:v>
                </c:pt>
                <c:pt idx="2">
                  <c:v>Housing</c:v>
                </c:pt>
                <c:pt idx="3">
                  <c:v>Food/Beverages</c:v>
                </c:pt>
                <c:pt idx="4">
                  <c:v>Energy</c:v>
                </c:pt>
                <c:pt idx="5">
                  <c:v>All Items</c:v>
                </c:pt>
              </c:strCache>
            </c:strRef>
          </c:cat>
          <c:val>
            <c:numRef>
              <c:f>CPI!$B$8:$B$13</c:f>
              <c:numCache>
                <c:formatCode>0.0%</c:formatCode>
                <c:ptCount val="6"/>
                <c:pt idx="0">
                  <c:v>-1.1000000000000001E-2</c:v>
                </c:pt>
                <c:pt idx="1">
                  <c:v>3.3000000000000002E-2</c:v>
                </c:pt>
                <c:pt idx="2">
                  <c:v>4.0999999999999995E-2</c:v>
                </c:pt>
                <c:pt idx="3">
                  <c:v>2.2000000000000002E-2</c:v>
                </c:pt>
                <c:pt idx="4">
                  <c:v>-6.8000000000000005E-2</c:v>
                </c:pt>
                <c:pt idx="5">
                  <c:v>2.4E-2</c:v>
                </c:pt>
              </c:numCache>
            </c:numRef>
          </c:val>
          <c:extLst>
            <c:ext xmlns:c16="http://schemas.microsoft.com/office/drawing/2014/chart" uri="{C3380CC4-5D6E-409C-BE32-E72D297353CC}">
              <c16:uniqueId val="{00000003-35A9-4439-989F-3BC4DD414D19}"/>
            </c:ext>
          </c:extLst>
        </c:ser>
        <c:dLbls>
          <c:showLegendKey val="0"/>
          <c:showVal val="0"/>
          <c:showCatName val="0"/>
          <c:showSerName val="0"/>
          <c:showPercent val="0"/>
          <c:showBubbleSize val="0"/>
        </c:dLbls>
        <c:gapWidth val="30"/>
        <c:axId val="95595520"/>
        <c:axId val="95605504"/>
      </c:barChart>
      <c:catAx>
        <c:axId val="95595520"/>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mn-lt"/>
                <a:ea typeface="Tahoma"/>
                <a:cs typeface="Tahoma"/>
              </a:defRPr>
            </a:pPr>
            <a:endParaRPr lang="en-US"/>
          </a:p>
        </c:txPr>
        <c:crossAx val="95605504"/>
        <c:crosses val="autoZero"/>
        <c:auto val="1"/>
        <c:lblAlgn val="ctr"/>
        <c:lblOffset val="0"/>
        <c:tickLblSkip val="1"/>
        <c:tickMarkSkip val="1"/>
        <c:noMultiLvlLbl val="0"/>
      </c:catAx>
      <c:valAx>
        <c:axId val="95605504"/>
        <c:scaling>
          <c:orientation val="minMax"/>
        </c:scaling>
        <c:delete val="0"/>
        <c:axPos val="b"/>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mn-lt"/>
                <a:ea typeface="Tahoma"/>
                <a:cs typeface="Tahoma"/>
              </a:defRPr>
            </a:pPr>
            <a:endParaRPr lang="en-US"/>
          </a:p>
        </c:txPr>
        <c:crossAx val="95595520"/>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3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051653425586723E-2"/>
          <c:y val="0.26582278481012656"/>
          <c:w val="0.88144440822880787"/>
          <c:h val="0.55696202531645567"/>
        </c:manualLayout>
      </c:layout>
      <c:barChart>
        <c:barDir val="col"/>
        <c:grouping val="clustered"/>
        <c:varyColors val="0"/>
        <c:ser>
          <c:idx val="0"/>
          <c:order val="0"/>
          <c:tx>
            <c:strRef>
              <c:f>Permits!$A$7</c:f>
              <c:strCache>
                <c:ptCount val="1"/>
                <c:pt idx="0">
                  <c:v>Sep-23</c:v>
                </c:pt>
              </c:strCache>
            </c:strRef>
          </c:tx>
          <c:spPr>
            <a:gradFill rotWithShape="0">
              <a:gsLst>
                <a:gs pos="0">
                  <a:schemeClr val="bg2">
                    <a:lumMod val="25000"/>
                  </a:schemeClr>
                </a:gs>
                <a:gs pos="50000">
                  <a:schemeClr val="bg2">
                    <a:lumMod val="75000"/>
                  </a:schemeClr>
                </a:gs>
                <a:gs pos="100000">
                  <a:schemeClr val="bg2">
                    <a:lumMod val="25000"/>
                  </a:schemeClr>
                </a:gs>
              </a:gsLst>
              <a:lin ang="0" scaled="1"/>
            </a:gradFill>
            <a:ln w="12700">
              <a:solidFill>
                <a:srgbClr val="000000"/>
              </a:solidFill>
              <a:prstDash val="solid"/>
            </a:ln>
          </c:spPr>
          <c:invertIfNegative val="0"/>
          <c:dLbls>
            <c:dLbl>
              <c:idx val="0"/>
              <c:layout>
                <c:manualLayout>
                  <c:x val="-1.1551187680487308E-4"/>
                  <c:y val="1.452274161932290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E08-4FA3-981C-6EA8320F2247}"/>
                </c:ext>
              </c:extLst>
            </c:dLbl>
            <c:dLbl>
              <c:idx val="1"/>
              <c:layout>
                <c:manualLayout>
                  <c:x val="-3.3416875522139905E-3"/>
                  <c:y val="1.68763081829960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E08-4FA3-981C-6EA8320F2247}"/>
                </c:ext>
              </c:extLst>
            </c:dLbl>
            <c:spPr>
              <a:solidFill>
                <a:srgbClr val="FFFFFF"/>
              </a:solidFill>
              <a:ln w="25400">
                <a:noFill/>
              </a:ln>
            </c:spPr>
            <c:txPr>
              <a:bodyPr/>
              <a:lstStyle/>
              <a:p>
                <a:pPr>
                  <a:defRPr sz="900" b="1" i="0" u="none" strike="noStrike" baseline="0">
                    <a:solidFill>
                      <a:srgbClr val="000000"/>
                    </a:solidFill>
                    <a:latin typeface="+mn-lt"/>
                    <a:ea typeface="Tahoma"/>
                    <a:cs typeface="Tahoma"/>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Permits!$B$6:$C$6</c:f>
              <c:strCache>
                <c:ptCount val="2"/>
                <c:pt idx="0">
                  <c:v>Single Unit Structure </c:v>
                </c:pt>
                <c:pt idx="1">
                  <c:v>2+ Units in Structure</c:v>
                </c:pt>
              </c:strCache>
            </c:strRef>
          </c:cat>
          <c:val>
            <c:numRef>
              <c:f>Permits!$B$7:$C$7</c:f>
              <c:numCache>
                <c:formatCode>General</c:formatCode>
                <c:ptCount val="2"/>
                <c:pt idx="0">
                  <c:v>266</c:v>
                </c:pt>
                <c:pt idx="1">
                  <c:v>62</c:v>
                </c:pt>
              </c:numCache>
            </c:numRef>
          </c:val>
          <c:extLst>
            <c:ext xmlns:c16="http://schemas.microsoft.com/office/drawing/2014/chart" uri="{C3380CC4-5D6E-409C-BE32-E72D297353CC}">
              <c16:uniqueId val="{00000002-8E08-4FA3-981C-6EA8320F2247}"/>
            </c:ext>
          </c:extLst>
        </c:ser>
        <c:ser>
          <c:idx val="1"/>
          <c:order val="1"/>
          <c:tx>
            <c:strRef>
              <c:f>Permits!$A$8</c:f>
              <c:strCache>
                <c:ptCount val="1"/>
                <c:pt idx="0">
                  <c:v>Sep-24</c:v>
                </c:pt>
              </c:strCache>
            </c:strRef>
          </c:tx>
          <c:spPr>
            <a:gradFill rotWithShape="0">
              <a:gsLst>
                <a:gs pos="0">
                  <a:schemeClr val="bg2">
                    <a:lumMod val="50000"/>
                  </a:schemeClr>
                </a:gs>
                <a:gs pos="50000">
                  <a:schemeClr val="bg2">
                    <a:lumMod val="90000"/>
                  </a:schemeClr>
                </a:gs>
                <a:gs pos="100000">
                  <a:schemeClr val="bg2">
                    <a:lumMod val="50000"/>
                  </a:schemeClr>
                </a:gs>
              </a:gsLst>
              <a:lin ang="0" scaled="1"/>
            </a:gradFill>
            <a:ln w="12700">
              <a:solidFill>
                <a:srgbClr val="000000"/>
              </a:solidFill>
              <a:prstDash val="solid"/>
            </a:ln>
          </c:spPr>
          <c:invertIfNegative val="0"/>
          <c:dLbls>
            <c:dLbl>
              <c:idx val="0"/>
              <c:layout>
                <c:manualLayout>
                  <c:x val="0"/>
                  <c:y val="1.68776371308016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E08-4FA3-981C-6EA8320F2247}"/>
                </c:ext>
              </c:extLst>
            </c:dLbl>
            <c:dLbl>
              <c:idx val="1"/>
              <c:layout>
                <c:manualLayout>
                  <c:x val="0"/>
                  <c:y val="8.438818565400766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E08-4FA3-981C-6EA8320F2247}"/>
                </c:ext>
              </c:extLst>
            </c:dLbl>
            <c:spPr>
              <a:solidFill>
                <a:srgbClr val="FFFFFF"/>
              </a:solidFill>
              <a:ln w="25400">
                <a:noFill/>
              </a:ln>
            </c:spPr>
            <c:txPr>
              <a:bodyPr/>
              <a:lstStyle/>
              <a:p>
                <a:pPr>
                  <a:defRPr sz="900" b="1" i="0" u="none" strike="noStrike" baseline="0">
                    <a:solidFill>
                      <a:srgbClr val="000000"/>
                    </a:solidFill>
                    <a:latin typeface="+mn-lt"/>
                    <a:ea typeface="Tahoma"/>
                    <a:cs typeface="Tahoma"/>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Permits!$B$6:$C$6</c:f>
              <c:strCache>
                <c:ptCount val="2"/>
                <c:pt idx="0">
                  <c:v>Single Unit Structure </c:v>
                </c:pt>
                <c:pt idx="1">
                  <c:v>2+ Units in Structure</c:v>
                </c:pt>
              </c:strCache>
            </c:strRef>
          </c:cat>
          <c:val>
            <c:numRef>
              <c:f>Permits!$B$8:$C$8</c:f>
              <c:numCache>
                <c:formatCode>General</c:formatCode>
                <c:ptCount val="2"/>
                <c:pt idx="0">
                  <c:v>274</c:v>
                </c:pt>
                <c:pt idx="1">
                  <c:v>289</c:v>
                </c:pt>
              </c:numCache>
            </c:numRef>
          </c:val>
          <c:extLst>
            <c:ext xmlns:c16="http://schemas.microsoft.com/office/drawing/2014/chart" uri="{C3380CC4-5D6E-409C-BE32-E72D297353CC}">
              <c16:uniqueId val="{00000005-8E08-4FA3-981C-6EA8320F2247}"/>
            </c:ext>
          </c:extLst>
        </c:ser>
        <c:dLbls>
          <c:showLegendKey val="0"/>
          <c:showVal val="0"/>
          <c:showCatName val="0"/>
          <c:showSerName val="0"/>
          <c:showPercent val="0"/>
          <c:showBubbleSize val="0"/>
        </c:dLbls>
        <c:gapWidth val="150"/>
        <c:axId val="95620096"/>
        <c:axId val="95654656"/>
      </c:barChart>
      <c:catAx>
        <c:axId val="956200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n-lt"/>
                <a:ea typeface="Tahoma"/>
                <a:cs typeface="Tahoma"/>
              </a:defRPr>
            </a:pPr>
            <a:endParaRPr lang="en-US"/>
          </a:p>
        </c:txPr>
        <c:crossAx val="95654656"/>
        <c:crosses val="autoZero"/>
        <c:auto val="1"/>
        <c:lblAlgn val="ctr"/>
        <c:lblOffset val="100"/>
        <c:tickLblSkip val="1"/>
        <c:tickMarkSkip val="1"/>
        <c:noMultiLvlLbl val="0"/>
      </c:catAx>
      <c:valAx>
        <c:axId val="95654656"/>
        <c:scaling>
          <c:orientation val="minMax"/>
        </c:scaling>
        <c:delete val="0"/>
        <c:axPos val="l"/>
        <c:majorGridlines>
          <c:spPr>
            <a:ln w="3175">
              <a:solidFill>
                <a:srgbClr val="80808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mn-lt"/>
                <a:ea typeface="Tahoma"/>
                <a:cs typeface="Tahoma"/>
              </a:defRPr>
            </a:pPr>
            <a:endParaRPr lang="en-US"/>
          </a:p>
        </c:txPr>
        <c:crossAx val="95620096"/>
        <c:crosses val="autoZero"/>
        <c:crossBetween val="between"/>
      </c:valAx>
      <c:spPr>
        <a:noFill/>
        <a:ln w="3175">
          <a:solidFill>
            <a:srgbClr val="808080"/>
          </a:solidFill>
          <a:prstDash val="solid"/>
        </a:ln>
      </c:spPr>
    </c:plotArea>
    <c:legend>
      <c:legendPos val="t"/>
      <c:layout>
        <c:manualLayout>
          <c:xMode val="edge"/>
          <c:yMode val="edge"/>
          <c:x val="0.32216535388479822"/>
          <c:y val="3.1645569620253167E-2"/>
          <c:w val="0.41237165297254169"/>
          <c:h val="0.15189873417721519"/>
        </c:manualLayout>
      </c:layout>
      <c:overlay val="0"/>
      <c:spPr>
        <a:solidFill>
          <a:srgbClr val="FFFFFF"/>
        </a:solidFill>
        <a:ln w="25400">
          <a:noFill/>
        </a:ln>
      </c:spPr>
      <c:txPr>
        <a:bodyPr/>
        <a:lstStyle/>
        <a:p>
          <a:pPr>
            <a:defRPr sz="1000" b="0" i="0" u="none" strike="noStrike" baseline="0">
              <a:solidFill>
                <a:srgbClr val="000000"/>
              </a:solidFill>
              <a:latin typeface="+mn-lt"/>
              <a:ea typeface="Tahoma"/>
              <a:cs typeface="Tahoma"/>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3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2522621597962405E-2"/>
          <c:y val="3.0150827749165134E-2"/>
          <c:w val="0.95946368007319849"/>
          <c:h val="0.83417290106023545"/>
        </c:manualLayout>
      </c:layout>
      <c:barChart>
        <c:barDir val="col"/>
        <c:grouping val="clustered"/>
        <c:varyColors val="0"/>
        <c:ser>
          <c:idx val="0"/>
          <c:order val="0"/>
          <c:spPr>
            <a:gradFill rotWithShape="0">
              <a:gsLst>
                <a:gs pos="0">
                  <a:schemeClr val="bg2">
                    <a:lumMod val="50000"/>
                  </a:schemeClr>
                </a:gs>
                <a:gs pos="50000">
                  <a:schemeClr val="bg2">
                    <a:lumMod val="90000"/>
                  </a:schemeClr>
                </a:gs>
                <a:gs pos="100000">
                  <a:schemeClr val="bg2">
                    <a:lumMod val="50000"/>
                  </a:schemeClr>
                </a:gs>
              </a:gsLst>
              <a:lin ang="0" scaled="1"/>
            </a:gradFill>
            <a:ln w="12700">
              <a:solidFill>
                <a:srgbClr val="000000"/>
              </a:solidFill>
              <a:prstDash val="solid"/>
            </a:ln>
          </c:spPr>
          <c:invertIfNegative val="0"/>
          <c:dLbls>
            <c:dLbl>
              <c:idx val="0"/>
              <c:layout>
                <c:manualLayout>
                  <c:x val="6.0060060060059921E-3"/>
                  <c:y val="0"/>
                </c:manualLayout>
              </c:layout>
              <c:spPr>
                <a:solidFill>
                  <a:srgbClr val="FFFFFF"/>
                </a:solidFill>
                <a:ln w="25400">
                  <a:noFill/>
                </a:ln>
              </c:spPr>
              <c:txPr>
                <a:bodyPr/>
                <a:lstStyle/>
                <a:p>
                  <a:pPr>
                    <a:defRPr sz="900" b="1" i="0" u="none" strike="noStrike" baseline="0">
                      <a:solidFill>
                        <a:srgbClr val="000000"/>
                      </a:solidFill>
                      <a:latin typeface="+mn-lt"/>
                      <a:ea typeface="Tahoma"/>
                      <a:cs typeface="Tahoma"/>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572-413A-9713-7CE2996D5731}"/>
                </c:ext>
              </c:extLst>
            </c:dLbl>
            <c:dLbl>
              <c:idx val="1"/>
              <c:layout>
                <c:manualLayout>
                  <c:x val="-4.729138587406304E-7"/>
                  <c:y val="1.0551444888369258E-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572-413A-9713-7CE2996D5731}"/>
                </c:ext>
              </c:extLst>
            </c:dLbl>
            <c:dLbl>
              <c:idx val="2"/>
              <c:layout>
                <c:manualLayout>
                  <c:x val="0"/>
                  <c:y val="1.340297286959733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572-413A-9713-7CE2996D5731}"/>
                </c:ext>
              </c:extLst>
            </c:dLbl>
            <c:spPr>
              <a:solidFill>
                <a:srgbClr val="FFFFFF"/>
              </a:solidFill>
              <a:ln w="25400">
                <a:noFill/>
              </a:ln>
            </c:spPr>
            <c:txPr>
              <a:bodyPr/>
              <a:lstStyle/>
              <a:p>
                <a:pPr algn="ctr" rtl="0">
                  <a:defRPr sz="900" b="1" i="0" u="none" strike="noStrike" baseline="0">
                    <a:solidFill>
                      <a:srgbClr val="000000"/>
                    </a:solidFill>
                    <a:latin typeface="+mn-lt"/>
                    <a:ea typeface="Tahoma"/>
                    <a:cs typeface="Tahoma"/>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QCEW!$A$40:$A$42</c:f>
              <c:strCache>
                <c:ptCount val="3"/>
                <c:pt idx="0">
                  <c:v>Goods</c:v>
                </c:pt>
                <c:pt idx="1">
                  <c:v>Services</c:v>
                </c:pt>
                <c:pt idx="2">
                  <c:v>Gov't</c:v>
                </c:pt>
              </c:strCache>
            </c:strRef>
          </c:cat>
          <c:val>
            <c:numRef>
              <c:f>QCEW!$B$40:$B$42</c:f>
              <c:numCache>
                <c:formatCode>0.0%</c:formatCode>
                <c:ptCount val="3"/>
                <c:pt idx="0">
                  <c:v>2.9988465974625143E-2</c:v>
                </c:pt>
                <c:pt idx="1">
                  <c:v>8.8126711920924142E-3</c:v>
                </c:pt>
                <c:pt idx="2">
                  <c:v>2.414113277623027E-2</c:v>
                </c:pt>
              </c:numCache>
            </c:numRef>
          </c:val>
          <c:extLst>
            <c:ext xmlns:c16="http://schemas.microsoft.com/office/drawing/2014/chart" uri="{C3380CC4-5D6E-409C-BE32-E72D297353CC}">
              <c16:uniqueId val="{00000003-7572-413A-9713-7CE2996D5731}"/>
            </c:ext>
          </c:extLst>
        </c:ser>
        <c:dLbls>
          <c:showLegendKey val="0"/>
          <c:showVal val="0"/>
          <c:showCatName val="0"/>
          <c:showSerName val="0"/>
          <c:showPercent val="0"/>
          <c:showBubbleSize val="0"/>
        </c:dLbls>
        <c:gapWidth val="20"/>
        <c:axId val="96732672"/>
        <c:axId val="96734208"/>
      </c:barChart>
      <c:catAx>
        <c:axId val="96732672"/>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900" b="0" i="0" u="none" strike="noStrike" baseline="0">
                <a:solidFill>
                  <a:srgbClr val="000000"/>
                </a:solidFill>
                <a:latin typeface="+mn-lt"/>
                <a:ea typeface="Tahoma"/>
                <a:cs typeface="Tahoma"/>
              </a:defRPr>
            </a:pPr>
            <a:endParaRPr lang="en-US"/>
          </a:p>
        </c:txPr>
        <c:crossAx val="96734208"/>
        <c:crosses val="autoZero"/>
        <c:auto val="1"/>
        <c:lblAlgn val="ctr"/>
        <c:lblOffset val="100"/>
        <c:tickLblSkip val="1"/>
        <c:tickMarkSkip val="1"/>
        <c:noMultiLvlLbl val="0"/>
      </c:catAx>
      <c:valAx>
        <c:axId val="96734208"/>
        <c:scaling>
          <c:orientation val="minMax"/>
        </c:scaling>
        <c:delete val="1"/>
        <c:axPos val="l"/>
        <c:majorGridlines>
          <c:spPr>
            <a:ln w="3175">
              <a:solidFill>
                <a:srgbClr val="808080"/>
              </a:solidFill>
              <a:prstDash val="sysDash"/>
            </a:ln>
          </c:spPr>
        </c:majorGridlines>
        <c:numFmt formatCode="0.0%" sourceLinked="1"/>
        <c:majorTickMark val="out"/>
        <c:minorTickMark val="none"/>
        <c:tickLblPos val="nextTo"/>
        <c:crossAx val="96732672"/>
        <c:crosses val="autoZero"/>
        <c:crossBetween val="between"/>
        <c:minorUnit val="5.0000000000000001E-3"/>
      </c:valAx>
      <c:spPr>
        <a:noFill/>
        <a:ln w="3175">
          <a:solidFill>
            <a:srgbClr val="000000"/>
          </a:solidFill>
          <a:prstDash val="solid"/>
        </a:ln>
      </c:spPr>
    </c:plotArea>
    <c:plotVisOnly val="1"/>
    <c:dispBlanksAs val="gap"/>
    <c:showDLblsOverMax val="0"/>
  </c:chart>
  <c:spPr>
    <a:solidFill>
      <a:srgbClr val="FFFFFF"/>
    </a:solidFill>
    <a:ln w="9525">
      <a:noFill/>
    </a:ln>
  </c:spPr>
  <c:txPr>
    <a:bodyPr/>
    <a:lstStyle/>
    <a:p>
      <a:pPr>
        <a:defRPr sz="3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2522621597962405E-2"/>
          <c:y val="2.4875742749838455E-2"/>
          <c:w val="0.95946368007319849"/>
          <c:h val="0.82587465929463666"/>
        </c:manualLayout>
      </c:layout>
      <c:barChart>
        <c:barDir val="col"/>
        <c:grouping val="clustered"/>
        <c:varyColors val="0"/>
        <c:ser>
          <c:idx val="0"/>
          <c:order val="0"/>
          <c:spPr>
            <a:gradFill rotWithShape="0">
              <a:gsLst>
                <a:gs pos="0">
                  <a:schemeClr val="bg2">
                    <a:lumMod val="50000"/>
                  </a:schemeClr>
                </a:gs>
                <a:gs pos="50000">
                  <a:schemeClr val="bg2">
                    <a:lumMod val="90000"/>
                  </a:schemeClr>
                </a:gs>
                <a:gs pos="100000">
                  <a:schemeClr val="bg2">
                    <a:lumMod val="50000"/>
                  </a:schemeClr>
                </a:gs>
              </a:gsLst>
              <a:lin ang="0" scaled="1"/>
            </a:gradFill>
            <a:ln w="12700">
              <a:solidFill>
                <a:srgbClr val="000000"/>
              </a:solidFill>
              <a:prstDash val="solid"/>
            </a:ln>
          </c:spPr>
          <c:invertIfNegative val="0"/>
          <c:dLbls>
            <c:dLbl>
              <c:idx val="0"/>
              <c:layout>
                <c:manualLayout>
                  <c:x val="6.0060060060059921E-3"/>
                  <c:y val="3.31711521134485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C8D-4008-B05B-1EFD82DF26CB}"/>
                </c:ext>
              </c:extLst>
            </c:dLbl>
            <c:dLbl>
              <c:idx val="1"/>
              <c:layout>
                <c:manualLayout>
                  <c:x val="6.005533092147265E-3"/>
                  <c:y val="1.0446455387093483E-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C8D-4008-B05B-1EFD82DF26CB}"/>
                </c:ext>
              </c:extLst>
            </c:dLbl>
            <c:dLbl>
              <c:idx val="2"/>
              <c:layout>
                <c:manualLayout>
                  <c:x val="-1.1010883812341616E-16"/>
                  <c:y val="3.31685404996017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C8D-4008-B05B-1EFD82DF26CB}"/>
                </c:ext>
              </c:extLst>
            </c:dLbl>
            <c:spPr>
              <a:noFill/>
              <a:ln w="25400">
                <a:noFill/>
              </a:ln>
            </c:spPr>
            <c:txPr>
              <a:bodyPr/>
              <a:lstStyle/>
              <a:p>
                <a:pPr>
                  <a:defRPr sz="900" b="1" i="0" u="none" strike="noStrike" baseline="0">
                    <a:solidFill>
                      <a:srgbClr val="000000"/>
                    </a:solidFill>
                    <a:latin typeface="+mn-lt"/>
                    <a:ea typeface="Tahoma"/>
                    <a:cs typeface="Tahoma"/>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QCEW!$A$45:$A$47</c:f>
              <c:strCache>
                <c:ptCount val="3"/>
                <c:pt idx="0">
                  <c:v>Goods</c:v>
                </c:pt>
                <c:pt idx="1">
                  <c:v>Services</c:v>
                </c:pt>
                <c:pt idx="2">
                  <c:v>Gov't</c:v>
                </c:pt>
              </c:strCache>
            </c:strRef>
          </c:cat>
          <c:val>
            <c:numRef>
              <c:f>QCEW!$B$45:$B$47</c:f>
              <c:numCache>
                <c:formatCode>0.0%</c:formatCode>
                <c:ptCount val="3"/>
                <c:pt idx="0">
                  <c:v>4.2682926829268296E-2</c:v>
                </c:pt>
                <c:pt idx="1">
                  <c:v>4.3298969072164947E-2</c:v>
                </c:pt>
                <c:pt idx="2">
                  <c:v>4.4662309368191724E-2</c:v>
                </c:pt>
              </c:numCache>
            </c:numRef>
          </c:val>
          <c:extLst>
            <c:ext xmlns:c16="http://schemas.microsoft.com/office/drawing/2014/chart" uri="{C3380CC4-5D6E-409C-BE32-E72D297353CC}">
              <c16:uniqueId val="{00000003-4C8D-4008-B05B-1EFD82DF26CB}"/>
            </c:ext>
          </c:extLst>
        </c:ser>
        <c:dLbls>
          <c:showLegendKey val="0"/>
          <c:showVal val="1"/>
          <c:showCatName val="0"/>
          <c:showSerName val="0"/>
          <c:showPercent val="0"/>
          <c:showBubbleSize val="0"/>
        </c:dLbls>
        <c:gapWidth val="20"/>
        <c:axId val="96765440"/>
        <c:axId val="96772480"/>
      </c:barChart>
      <c:catAx>
        <c:axId val="9676544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900" b="0" i="0" u="none" strike="noStrike" baseline="0">
                <a:solidFill>
                  <a:srgbClr val="000000"/>
                </a:solidFill>
                <a:latin typeface="+mn-lt"/>
                <a:ea typeface="Tahoma"/>
                <a:cs typeface="Tahoma"/>
              </a:defRPr>
            </a:pPr>
            <a:endParaRPr lang="en-US"/>
          </a:p>
        </c:txPr>
        <c:crossAx val="96772480"/>
        <c:crosses val="autoZero"/>
        <c:auto val="1"/>
        <c:lblAlgn val="ctr"/>
        <c:lblOffset val="100"/>
        <c:tickLblSkip val="1"/>
        <c:tickMarkSkip val="1"/>
        <c:noMultiLvlLbl val="0"/>
      </c:catAx>
      <c:valAx>
        <c:axId val="96772480"/>
        <c:scaling>
          <c:orientation val="minMax"/>
        </c:scaling>
        <c:delete val="1"/>
        <c:axPos val="l"/>
        <c:majorGridlines>
          <c:spPr>
            <a:ln w="3175">
              <a:solidFill>
                <a:srgbClr val="808080"/>
              </a:solidFill>
              <a:prstDash val="sysDash"/>
            </a:ln>
          </c:spPr>
        </c:majorGridlines>
        <c:numFmt formatCode="0.0%" sourceLinked="1"/>
        <c:majorTickMark val="out"/>
        <c:minorTickMark val="none"/>
        <c:tickLblPos val="nextTo"/>
        <c:crossAx val="96765440"/>
        <c:crosses val="autoZero"/>
        <c:crossBetween val="between"/>
        <c:minorUnit val="2E-3"/>
      </c:valAx>
      <c:spPr>
        <a:noFill/>
        <a:ln w="12700">
          <a:solidFill>
            <a:srgbClr val="C0C0C0"/>
          </a:solidFill>
          <a:prstDash val="solid"/>
        </a:ln>
      </c:spPr>
    </c:plotArea>
    <c:plotVisOnly val="1"/>
    <c:dispBlanksAs val="gap"/>
    <c:showDLblsOverMax val="0"/>
  </c:chart>
  <c:spPr>
    <a:solidFill>
      <a:srgbClr val="FFFFFF"/>
    </a:solidFill>
    <a:ln w="9525">
      <a:noFill/>
    </a:ln>
  </c:spPr>
  <c:txPr>
    <a:bodyPr/>
    <a:lstStyle/>
    <a:p>
      <a:pPr>
        <a:defRPr sz="3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354411708607257E-2"/>
          <c:y val="8.3832335329341312E-2"/>
          <c:w val="0.8671897053774652"/>
          <c:h val="0.58682634730538918"/>
        </c:manualLayout>
      </c:layout>
      <c:lineChart>
        <c:grouping val="standard"/>
        <c:varyColors val="0"/>
        <c:ser>
          <c:idx val="0"/>
          <c:order val="0"/>
          <c:tx>
            <c:strRef>
              <c:f>Duration!$M$11</c:f>
              <c:strCache>
                <c:ptCount val="1"/>
                <c:pt idx="0">
                  <c:v>DualResult</c:v>
                </c:pt>
              </c:strCache>
            </c:strRef>
          </c:tx>
          <c:spPr>
            <a:ln w="25400">
              <a:solidFill>
                <a:schemeClr val="accent3">
                  <a:lumMod val="50000"/>
                </a:schemeClr>
              </a:solidFill>
              <a:prstDash val="solid"/>
            </a:ln>
          </c:spPr>
          <c:marker>
            <c:symbol val="circle"/>
            <c:size val="4"/>
            <c:spPr>
              <a:solidFill>
                <a:schemeClr val="accent3">
                  <a:lumMod val="50000"/>
                </a:schemeClr>
              </a:solidFill>
              <a:ln>
                <a:solidFill>
                  <a:schemeClr val="accent3">
                    <a:lumMod val="50000"/>
                  </a:schemeClr>
                </a:solidFill>
                <a:prstDash val="solid"/>
              </a:ln>
            </c:spPr>
          </c:marker>
          <c:cat>
            <c:strRef>
              <c:f>Duration!$L$12:$L$27</c:f>
              <c:strCache>
                <c:ptCount val="16"/>
                <c:pt idx="0">
                  <c:v>2020 Q4</c:v>
                </c:pt>
                <c:pt idx="1">
                  <c:v>2021 Q1</c:v>
                </c:pt>
                <c:pt idx="2">
                  <c:v>2021 Q2</c:v>
                </c:pt>
                <c:pt idx="3">
                  <c:v>2021 Q3</c:v>
                </c:pt>
                <c:pt idx="4">
                  <c:v>2021 Q4</c:v>
                </c:pt>
                <c:pt idx="5">
                  <c:v>2022 Q1</c:v>
                </c:pt>
                <c:pt idx="6">
                  <c:v>2022 Q2</c:v>
                </c:pt>
                <c:pt idx="7">
                  <c:v>2022 Q3</c:v>
                </c:pt>
                <c:pt idx="8">
                  <c:v>2022 Q4</c:v>
                </c:pt>
                <c:pt idx="9">
                  <c:v>2023 Q1</c:v>
                </c:pt>
                <c:pt idx="10">
                  <c:v>2023 Q2</c:v>
                </c:pt>
                <c:pt idx="11">
                  <c:v>2023 Q3</c:v>
                </c:pt>
                <c:pt idx="12">
                  <c:v>2023 Q4</c:v>
                </c:pt>
                <c:pt idx="13">
                  <c:v>2024 Q1</c:v>
                </c:pt>
                <c:pt idx="14">
                  <c:v>2024 Q2</c:v>
                </c:pt>
                <c:pt idx="15">
                  <c:v>2024 Q3</c:v>
                </c:pt>
              </c:strCache>
            </c:strRef>
          </c:cat>
          <c:val>
            <c:numRef>
              <c:f>Duration!$M$12:$M$27</c:f>
              <c:numCache>
                <c:formatCode>0.0</c:formatCode>
                <c:ptCount val="16"/>
                <c:pt idx="0">
                  <c:v>12.7</c:v>
                </c:pt>
                <c:pt idx="1">
                  <c:v>13.4</c:v>
                </c:pt>
                <c:pt idx="2">
                  <c:v>17.2</c:v>
                </c:pt>
                <c:pt idx="3">
                  <c:v>8.1</c:v>
                </c:pt>
                <c:pt idx="4">
                  <c:v>5.5</c:v>
                </c:pt>
                <c:pt idx="5">
                  <c:v>6.9</c:v>
                </c:pt>
                <c:pt idx="6">
                  <c:v>5.9</c:v>
                </c:pt>
                <c:pt idx="7">
                  <c:v>4.4000000000000004</c:v>
                </c:pt>
                <c:pt idx="8">
                  <c:v>7.8</c:v>
                </c:pt>
                <c:pt idx="9">
                  <c:v>9.9</c:v>
                </c:pt>
                <c:pt idx="10">
                  <c:v>6.6</c:v>
                </c:pt>
                <c:pt idx="11">
                  <c:v>6.9</c:v>
                </c:pt>
                <c:pt idx="12">
                  <c:v>9.3000000000000007</c:v>
                </c:pt>
                <c:pt idx="13">
                  <c:v>9.1</c:v>
                </c:pt>
                <c:pt idx="14">
                  <c:v>7.8</c:v>
                </c:pt>
                <c:pt idx="15">
                  <c:v>8</c:v>
                </c:pt>
              </c:numCache>
            </c:numRef>
          </c:val>
          <c:smooth val="0"/>
          <c:extLst>
            <c:ext xmlns:c16="http://schemas.microsoft.com/office/drawing/2014/chart" uri="{C3380CC4-5D6E-409C-BE32-E72D297353CC}">
              <c16:uniqueId val="{00000000-C54D-4056-B639-17094D7FCBD7}"/>
            </c:ext>
          </c:extLst>
        </c:ser>
        <c:dLbls>
          <c:showLegendKey val="0"/>
          <c:showVal val="0"/>
          <c:showCatName val="0"/>
          <c:showSerName val="0"/>
          <c:showPercent val="0"/>
          <c:showBubbleSize val="0"/>
        </c:dLbls>
        <c:marker val="1"/>
        <c:smooth val="0"/>
        <c:axId val="96794112"/>
        <c:axId val="96796032"/>
      </c:lineChart>
      <c:catAx>
        <c:axId val="9679411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900" b="0" i="0" u="none" strike="noStrike" baseline="0">
                <a:solidFill>
                  <a:srgbClr val="000000"/>
                </a:solidFill>
                <a:latin typeface="+mn-lt"/>
                <a:ea typeface="Tahoma"/>
                <a:cs typeface="Tahoma"/>
              </a:defRPr>
            </a:pPr>
            <a:endParaRPr lang="en-US"/>
          </a:p>
        </c:txPr>
        <c:crossAx val="96796032"/>
        <c:crosses val="autoZero"/>
        <c:auto val="1"/>
        <c:lblAlgn val="ctr"/>
        <c:lblOffset val="100"/>
        <c:tickLblSkip val="1"/>
        <c:tickMarkSkip val="1"/>
        <c:noMultiLvlLbl val="0"/>
      </c:catAx>
      <c:valAx>
        <c:axId val="96796032"/>
        <c:scaling>
          <c:orientation val="minMax"/>
        </c:scaling>
        <c:delete val="0"/>
        <c:axPos val="l"/>
        <c:majorGridlines>
          <c:spPr>
            <a:ln w="3175">
              <a:solidFill>
                <a:srgbClr val="808080"/>
              </a:solidFill>
              <a:prstDash val="sysDash"/>
            </a:ln>
          </c:spPr>
        </c:majorGridlines>
        <c:numFmt formatCode="0.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n-lt"/>
                <a:ea typeface="Tahoma"/>
                <a:cs typeface="Tahoma"/>
              </a:defRPr>
            </a:pPr>
            <a:endParaRPr lang="en-US"/>
          </a:p>
        </c:txPr>
        <c:crossAx val="9679411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12700">
      <a:solidFill>
        <a:srgbClr val="000000"/>
      </a:solidFill>
      <a:prstDash val="solid"/>
    </a:ln>
  </c:spPr>
  <c:txPr>
    <a:bodyPr/>
    <a:lstStyle/>
    <a:p>
      <a:pPr>
        <a:defRPr sz="4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354411708607257E-2"/>
          <c:y val="8.3832335329341312E-2"/>
          <c:w val="0.8671897053774652"/>
          <c:h val="0.58682634730538918"/>
        </c:manualLayout>
      </c:layout>
      <c:lineChart>
        <c:grouping val="standard"/>
        <c:varyColors val="0"/>
        <c:ser>
          <c:idx val="0"/>
          <c:order val="0"/>
          <c:tx>
            <c:strRef>
              <c:f>Duration!$M$11</c:f>
              <c:strCache>
                <c:ptCount val="1"/>
                <c:pt idx="0">
                  <c:v>DualResult</c:v>
                </c:pt>
              </c:strCache>
            </c:strRef>
          </c:tx>
          <c:spPr>
            <a:ln w="25400">
              <a:solidFill>
                <a:schemeClr val="bg2">
                  <a:lumMod val="50000"/>
                </a:schemeClr>
              </a:solidFill>
              <a:prstDash val="solid"/>
            </a:ln>
          </c:spPr>
          <c:marker>
            <c:symbol val="circle"/>
            <c:size val="6"/>
            <c:spPr>
              <a:solidFill>
                <a:schemeClr val="bg2">
                  <a:lumMod val="50000"/>
                </a:schemeClr>
              </a:solidFill>
              <a:ln>
                <a:solidFill>
                  <a:schemeClr val="bg2">
                    <a:lumMod val="50000"/>
                  </a:schemeClr>
                </a:solidFill>
                <a:prstDash val="solid"/>
              </a:ln>
            </c:spPr>
          </c:marker>
          <c:cat>
            <c:strRef>
              <c:f>Duration!$L$12:$L$27</c:f>
              <c:strCache>
                <c:ptCount val="16"/>
                <c:pt idx="0">
                  <c:v>2020 Q4</c:v>
                </c:pt>
                <c:pt idx="1">
                  <c:v>2021 Q1</c:v>
                </c:pt>
                <c:pt idx="2">
                  <c:v>2021 Q2</c:v>
                </c:pt>
                <c:pt idx="3">
                  <c:v>2021 Q3</c:v>
                </c:pt>
                <c:pt idx="4">
                  <c:v>2021 Q4</c:v>
                </c:pt>
                <c:pt idx="5">
                  <c:v>2022 Q1</c:v>
                </c:pt>
                <c:pt idx="6">
                  <c:v>2022 Q2</c:v>
                </c:pt>
                <c:pt idx="7">
                  <c:v>2022 Q3</c:v>
                </c:pt>
                <c:pt idx="8">
                  <c:v>2022 Q4</c:v>
                </c:pt>
                <c:pt idx="9">
                  <c:v>2023 Q1</c:v>
                </c:pt>
                <c:pt idx="10">
                  <c:v>2023 Q2</c:v>
                </c:pt>
                <c:pt idx="11">
                  <c:v>2023 Q3</c:v>
                </c:pt>
                <c:pt idx="12">
                  <c:v>2023 Q4</c:v>
                </c:pt>
                <c:pt idx="13">
                  <c:v>2024 Q1</c:v>
                </c:pt>
                <c:pt idx="14">
                  <c:v>2024 Q2</c:v>
                </c:pt>
                <c:pt idx="15">
                  <c:v>2024 Q3</c:v>
                </c:pt>
              </c:strCache>
            </c:strRef>
          </c:cat>
          <c:val>
            <c:numRef>
              <c:f>Duration!$M$12:$M$27</c:f>
              <c:numCache>
                <c:formatCode>0.0</c:formatCode>
                <c:ptCount val="16"/>
                <c:pt idx="0">
                  <c:v>12.7</c:v>
                </c:pt>
                <c:pt idx="1">
                  <c:v>13.4</c:v>
                </c:pt>
                <c:pt idx="2">
                  <c:v>17.2</c:v>
                </c:pt>
                <c:pt idx="3">
                  <c:v>8.1</c:v>
                </c:pt>
                <c:pt idx="4">
                  <c:v>5.5</c:v>
                </c:pt>
                <c:pt idx="5">
                  <c:v>6.9</c:v>
                </c:pt>
                <c:pt idx="6">
                  <c:v>5.9</c:v>
                </c:pt>
                <c:pt idx="7">
                  <c:v>4.4000000000000004</c:v>
                </c:pt>
                <c:pt idx="8">
                  <c:v>7.8</c:v>
                </c:pt>
                <c:pt idx="9">
                  <c:v>9.9</c:v>
                </c:pt>
                <c:pt idx="10">
                  <c:v>6.6</c:v>
                </c:pt>
                <c:pt idx="11">
                  <c:v>6.9</c:v>
                </c:pt>
                <c:pt idx="12">
                  <c:v>9.3000000000000007</c:v>
                </c:pt>
                <c:pt idx="13">
                  <c:v>9.1</c:v>
                </c:pt>
                <c:pt idx="14">
                  <c:v>7.8</c:v>
                </c:pt>
                <c:pt idx="15">
                  <c:v>8</c:v>
                </c:pt>
              </c:numCache>
            </c:numRef>
          </c:val>
          <c:smooth val="0"/>
          <c:extLst>
            <c:ext xmlns:c16="http://schemas.microsoft.com/office/drawing/2014/chart" uri="{C3380CC4-5D6E-409C-BE32-E72D297353CC}">
              <c16:uniqueId val="{00000000-7B21-4196-870A-5014F14E4B20}"/>
            </c:ext>
          </c:extLst>
        </c:ser>
        <c:dLbls>
          <c:showLegendKey val="0"/>
          <c:showVal val="0"/>
          <c:showCatName val="0"/>
          <c:showSerName val="0"/>
          <c:showPercent val="0"/>
          <c:showBubbleSize val="0"/>
        </c:dLbls>
        <c:marker val="1"/>
        <c:smooth val="0"/>
        <c:axId val="96913664"/>
        <c:axId val="96924032"/>
      </c:lineChart>
      <c:catAx>
        <c:axId val="96913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900" b="0" i="0" u="none" strike="noStrike" baseline="0">
                <a:solidFill>
                  <a:srgbClr val="000000"/>
                </a:solidFill>
                <a:latin typeface="+mn-lt"/>
                <a:ea typeface="Tahoma"/>
                <a:cs typeface="Tahoma"/>
              </a:defRPr>
            </a:pPr>
            <a:endParaRPr lang="en-US"/>
          </a:p>
        </c:txPr>
        <c:crossAx val="96924032"/>
        <c:crosses val="autoZero"/>
        <c:auto val="1"/>
        <c:lblAlgn val="ctr"/>
        <c:lblOffset val="100"/>
        <c:tickLblSkip val="1"/>
        <c:tickMarkSkip val="1"/>
        <c:noMultiLvlLbl val="0"/>
      </c:catAx>
      <c:valAx>
        <c:axId val="96924032"/>
        <c:scaling>
          <c:orientation val="minMax"/>
        </c:scaling>
        <c:delete val="0"/>
        <c:axPos val="l"/>
        <c:majorGridlines>
          <c:spPr>
            <a:ln w="3175">
              <a:solidFill>
                <a:srgbClr val="808080"/>
              </a:solidFill>
              <a:prstDash val="sysDash"/>
            </a:ln>
          </c:spPr>
        </c:majorGridlines>
        <c:numFmt formatCode="0.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n-lt"/>
                <a:ea typeface="Tahoma"/>
                <a:cs typeface="Tahoma"/>
              </a:defRPr>
            </a:pPr>
            <a:endParaRPr lang="en-US"/>
          </a:p>
        </c:txPr>
        <c:crossAx val="9691366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12700">
      <a:solidFill>
        <a:srgbClr val="000000"/>
      </a:solidFill>
      <a:prstDash val="solid"/>
    </a:ln>
  </c:spPr>
  <c:txPr>
    <a:bodyPr/>
    <a:lstStyle/>
    <a:p>
      <a:pPr>
        <a:defRPr sz="4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trlProps/ctrlProp1.xml><?xml version="1.0" encoding="utf-8"?>
<formControlPr xmlns="http://schemas.microsoft.com/office/spreadsheetml/2009/9/main" objectType="Drop" dropStyle="combo" dx="16" fmlaLink="QCEW!$E$38" fmlaRange="QCEW!$E$40:$E$50" sel="2" val="0"/>
</file>

<file path=xl/ctrlProps/ctrlProp2.xml><?xml version="1.0" encoding="utf-8"?>
<formControlPr xmlns="http://schemas.microsoft.com/office/spreadsheetml/2009/9/main" objectType="Drop" dropLines="10" dropStyle="combo" dx="16" fmlaLink="LaborForce!$S$4" fmlaRange="LaborForce!$S$6:$S$60" sel="3" val="2"/>
</file>

<file path=xl/ctrlProps/ctrlProp3.xml><?xml version="1.0" encoding="utf-8"?>
<formControlPr xmlns="http://schemas.microsoft.com/office/spreadsheetml/2009/9/main" objectType="Drop" dropStyle="combo" dx="16" fmlaLink="CES!$F$2" fmlaRange="CES!$F$4:$F$11" sel="1" val="0"/>
</file>

<file path=xl/ctrlProps/ctrlProp4.xml><?xml version="1.0" encoding="utf-8"?>
<formControlPr xmlns="http://schemas.microsoft.com/office/spreadsheetml/2009/9/main" objectType="Drop" dropLines="5" dropStyle="combo" dx="16" fmlaLink="Duration!$L$1" fmlaRange="Duration!$L$2:$L$6" sel="1" val="0"/>
</file>

<file path=xl/ctrlProps/ctrlProp5.xml><?xml version="1.0" encoding="utf-8"?>
<formControlPr xmlns="http://schemas.microsoft.com/office/spreadsheetml/2009/9/main" objectType="Drop" dropLines="7" dropStyle="combo" dx="16" fmlaLink="Duration!$P$1" fmlaRange="Duration!$P$2:$P$8" sel="1" val="0"/>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0</xdr:colOff>
          <xdr:row>105</xdr:row>
          <xdr:rowOff>76200</xdr:rowOff>
        </xdr:from>
        <xdr:to>
          <xdr:col>15</xdr:col>
          <xdr:colOff>590550</xdr:colOff>
          <xdr:row>106</xdr:row>
          <xdr:rowOff>114300</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xdr:row>
          <xdr:rowOff>85725</xdr:rowOff>
        </xdr:from>
        <xdr:to>
          <xdr:col>16</xdr:col>
          <xdr:colOff>0</xdr:colOff>
          <xdr:row>10</xdr:row>
          <xdr:rowOff>19050</xdr:rowOff>
        </xdr:to>
        <xdr:sp macro="" textlink="">
          <xdr:nvSpPr>
            <xdr:cNvPr id="2056" name="Drop Down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7</xdr:col>
      <xdr:colOff>38100</xdr:colOff>
      <xdr:row>10</xdr:row>
      <xdr:rowOff>0</xdr:rowOff>
    </xdr:from>
    <xdr:to>
      <xdr:col>10</xdr:col>
      <xdr:colOff>866775</xdr:colOff>
      <xdr:row>22</xdr:row>
      <xdr:rowOff>123825</xdr:rowOff>
    </xdr:to>
    <xdr:graphicFrame macro="">
      <xdr:nvGraphicFramePr>
        <xdr:cNvPr id="2057" name="Chart 9">
          <a:extLst>
            <a:ext uri="{FF2B5EF4-FFF2-40B4-BE49-F238E27FC236}">
              <a16:creationId xmlns:a16="http://schemas.microsoft.com/office/drawing/2014/main" id="{00000000-0008-0000-0000-000009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12</xdr:col>
          <xdr:colOff>9525</xdr:colOff>
          <xdr:row>28</xdr:row>
          <xdr:rowOff>114300</xdr:rowOff>
        </xdr:from>
        <xdr:to>
          <xdr:col>16</xdr:col>
          <xdr:colOff>38100</xdr:colOff>
          <xdr:row>30</xdr:row>
          <xdr:rowOff>19050</xdr:rowOff>
        </xdr:to>
        <xdr:sp macro="" textlink="">
          <xdr:nvSpPr>
            <xdr:cNvPr id="2058" name="Drop Down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4</xdr:col>
      <xdr:colOff>142875</xdr:colOff>
      <xdr:row>70</xdr:row>
      <xdr:rowOff>0</xdr:rowOff>
    </xdr:from>
    <xdr:to>
      <xdr:col>7</xdr:col>
      <xdr:colOff>533400</xdr:colOff>
      <xdr:row>85</xdr:row>
      <xdr:rowOff>0</xdr:rowOff>
    </xdr:to>
    <xdr:graphicFrame macro="">
      <xdr:nvGraphicFramePr>
        <xdr:cNvPr id="2059" name="Chart 11">
          <a:extLst>
            <a:ext uri="{FF2B5EF4-FFF2-40B4-BE49-F238E27FC236}">
              <a16:creationId xmlns:a16="http://schemas.microsoft.com/office/drawing/2014/main" id="{00000000-0008-0000-0000-00000B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571500</xdr:colOff>
      <xdr:row>70</xdr:row>
      <xdr:rowOff>0</xdr:rowOff>
    </xdr:from>
    <xdr:to>
      <xdr:col>10</xdr:col>
      <xdr:colOff>866775</xdr:colOff>
      <xdr:row>85</xdr:row>
      <xdr:rowOff>0</xdr:rowOff>
    </xdr:to>
    <xdr:graphicFrame macro="">
      <xdr:nvGraphicFramePr>
        <xdr:cNvPr id="2060" name="Chart 12">
          <a:extLst>
            <a:ext uri="{FF2B5EF4-FFF2-40B4-BE49-F238E27FC236}">
              <a16:creationId xmlns:a16="http://schemas.microsoft.com/office/drawing/2014/main" id="{00000000-0008-0000-0000-00000C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114300</xdr:colOff>
      <xdr:row>55</xdr:row>
      <xdr:rowOff>38100</xdr:rowOff>
    </xdr:from>
    <xdr:to>
      <xdr:col>4</xdr:col>
      <xdr:colOff>800100</xdr:colOff>
      <xdr:row>64</xdr:row>
      <xdr:rowOff>76200</xdr:rowOff>
    </xdr:to>
    <xdr:graphicFrame macro="">
      <xdr:nvGraphicFramePr>
        <xdr:cNvPr id="2062" name="Chart 14">
          <a:extLst>
            <a:ext uri="{FF2B5EF4-FFF2-40B4-BE49-F238E27FC236}">
              <a16:creationId xmlns:a16="http://schemas.microsoft.com/office/drawing/2014/main" id="{00000000-0008-0000-0000-00000E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38100</xdr:colOff>
      <xdr:row>55</xdr:row>
      <xdr:rowOff>38100</xdr:rowOff>
    </xdr:from>
    <xdr:to>
      <xdr:col>10</xdr:col>
      <xdr:colOff>866775</xdr:colOff>
      <xdr:row>64</xdr:row>
      <xdr:rowOff>85725</xdr:rowOff>
    </xdr:to>
    <xdr:graphicFrame macro="">
      <xdr:nvGraphicFramePr>
        <xdr:cNvPr id="2066" name="Chart 18">
          <a:extLst>
            <a:ext uri="{FF2B5EF4-FFF2-40B4-BE49-F238E27FC236}">
              <a16:creationId xmlns:a16="http://schemas.microsoft.com/office/drawing/2014/main" id="{00000000-0008-0000-0000-000012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19050</xdr:colOff>
      <xdr:row>106</xdr:row>
      <xdr:rowOff>9525</xdr:rowOff>
    </xdr:from>
    <xdr:to>
      <xdr:col>10</xdr:col>
      <xdr:colOff>904875</xdr:colOff>
      <xdr:row>117</xdr:row>
      <xdr:rowOff>123825</xdr:rowOff>
    </xdr:to>
    <xdr:graphicFrame macro="">
      <xdr:nvGraphicFramePr>
        <xdr:cNvPr id="2068" name="Chart 20">
          <a:extLst>
            <a:ext uri="{FF2B5EF4-FFF2-40B4-BE49-F238E27FC236}">
              <a16:creationId xmlns:a16="http://schemas.microsoft.com/office/drawing/2014/main" id="{00000000-0008-0000-0000-000014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19050</xdr:colOff>
      <xdr:row>121</xdr:row>
      <xdr:rowOff>9525</xdr:rowOff>
    </xdr:from>
    <xdr:to>
      <xdr:col>10</xdr:col>
      <xdr:colOff>904875</xdr:colOff>
      <xdr:row>132</xdr:row>
      <xdr:rowOff>142875</xdr:rowOff>
    </xdr:to>
    <xdr:graphicFrame macro="">
      <xdr:nvGraphicFramePr>
        <xdr:cNvPr id="2069" name="Chart 21">
          <a:extLst>
            <a:ext uri="{FF2B5EF4-FFF2-40B4-BE49-F238E27FC236}">
              <a16:creationId xmlns:a16="http://schemas.microsoft.com/office/drawing/2014/main" id="{00000000-0008-0000-0000-000015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editAs="oneCell">
        <xdr:from>
          <xdr:col>12</xdr:col>
          <xdr:colOff>9525</xdr:colOff>
          <xdr:row>93</xdr:row>
          <xdr:rowOff>38100</xdr:rowOff>
        </xdr:from>
        <xdr:to>
          <xdr:col>16</xdr:col>
          <xdr:colOff>0</xdr:colOff>
          <xdr:row>94</xdr:row>
          <xdr:rowOff>104775</xdr:rowOff>
        </xdr:to>
        <xdr:sp macro="" textlink="">
          <xdr:nvSpPr>
            <xdr:cNvPr id="2071" name="Drop Down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90</xdr:row>
          <xdr:rowOff>47625</xdr:rowOff>
        </xdr:from>
        <xdr:to>
          <xdr:col>16</xdr:col>
          <xdr:colOff>0</xdr:colOff>
          <xdr:row>91</xdr:row>
          <xdr:rowOff>85725</xdr:rowOff>
        </xdr:to>
        <xdr:sp macro="" textlink="">
          <xdr:nvSpPr>
            <xdr:cNvPr id="2072" name="Drop Down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6</xdr:col>
      <xdr:colOff>104774</xdr:colOff>
      <xdr:row>90</xdr:row>
      <xdr:rowOff>9525</xdr:rowOff>
    </xdr:from>
    <xdr:to>
      <xdr:col>10</xdr:col>
      <xdr:colOff>857249</xdr:colOff>
      <xdr:row>99</xdr:row>
      <xdr:rowOff>142875</xdr:rowOff>
    </xdr:to>
    <xdr:graphicFrame macro="">
      <xdr:nvGraphicFramePr>
        <xdr:cNvPr id="2073" name="Chart 25">
          <a:extLst>
            <a:ext uri="{FF2B5EF4-FFF2-40B4-BE49-F238E27FC236}">
              <a16:creationId xmlns:a16="http://schemas.microsoft.com/office/drawing/2014/main" id="{00000000-0008-0000-0000-000019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104774</xdr:colOff>
      <xdr:row>90</xdr:row>
      <xdr:rowOff>19050</xdr:rowOff>
    </xdr:from>
    <xdr:to>
      <xdr:col>10</xdr:col>
      <xdr:colOff>857249</xdr:colOff>
      <xdr:row>99</xdr:row>
      <xdr:rowOff>152400</xdr:rowOff>
    </xdr:to>
    <xdr:graphicFrame macro="">
      <xdr:nvGraphicFramePr>
        <xdr:cNvPr id="16" name="Chart 2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E1"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E1"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bls.gov/cpi/"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2" tint="-0.749992370372631"/>
  </sheetPr>
  <dimension ref="A1:X153"/>
  <sheetViews>
    <sheetView showGridLines="0" showRowColHeaders="0" tabSelected="1" zoomScaleNormal="100" workbookViewId="0">
      <selection activeCell="B106" sqref="B106"/>
    </sheetView>
  </sheetViews>
  <sheetFormatPr defaultColWidth="9.140625" defaultRowHeight="12.75"/>
  <cols>
    <col min="1" max="1" width="1.7109375" style="1" customWidth="1"/>
    <col min="2" max="3" width="13.28515625" style="1" customWidth="1"/>
    <col min="4" max="5" width="13.7109375" style="1" customWidth="1"/>
    <col min="6" max="6" width="1.7109375" style="1" customWidth="1"/>
    <col min="7" max="7" width="13.7109375" style="1" customWidth="1"/>
    <col min="8" max="8" width="12.42578125" style="1" customWidth="1"/>
    <col min="9" max="9" width="4.7109375" style="1" customWidth="1"/>
    <col min="10" max="11" width="13.7109375" style="1" customWidth="1"/>
    <col min="12" max="12" width="2.7109375" style="7" customWidth="1"/>
    <col min="13" max="17" width="9.140625" style="7"/>
    <col min="18" max="16384" width="9.140625" style="1"/>
  </cols>
  <sheetData>
    <row r="1" spans="1:16" ht="22.5" customHeight="1">
      <c r="A1" s="7"/>
      <c r="B1" s="249" t="s">
        <v>241</v>
      </c>
      <c r="C1" s="7"/>
      <c r="D1" s="7"/>
      <c r="E1" s="7"/>
      <c r="F1" s="7"/>
      <c r="G1" s="7"/>
      <c r="H1" s="7"/>
      <c r="I1" s="7"/>
      <c r="J1" s="9" t="s">
        <v>120</v>
      </c>
      <c r="K1" s="10">
        <f ca="1">TODAY()</f>
        <v>45595</v>
      </c>
    </row>
    <row r="2" spans="1:16" ht="12.75" customHeight="1">
      <c r="A2" s="7"/>
      <c r="B2" s="7"/>
      <c r="C2" s="7"/>
      <c r="D2" s="7"/>
      <c r="E2" s="7"/>
      <c r="F2" s="7"/>
      <c r="G2" s="7"/>
      <c r="H2" s="7"/>
      <c r="I2" s="7"/>
      <c r="J2" s="9"/>
      <c r="K2" s="10"/>
      <c r="M2" s="58" t="s">
        <v>212</v>
      </c>
    </row>
    <row r="3" spans="1:16" ht="12.75" customHeight="1">
      <c r="A3" s="7"/>
      <c r="B3" s="7" t="s">
        <v>317</v>
      </c>
      <c r="C3" s="7"/>
      <c r="D3" s="7"/>
      <c r="E3" s="7"/>
      <c r="F3" s="7"/>
      <c r="G3" s="7"/>
      <c r="H3" s="7"/>
      <c r="I3" s="7"/>
      <c r="J3" s="7"/>
      <c r="K3" s="9"/>
      <c r="M3" s="7" t="s">
        <v>213</v>
      </c>
    </row>
    <row r="4" spans="1:16" ht="12.75" customHeight="1">
      <c r="A4" s="7"/>
      <c r="B4" s="352" t="s">
        <v>318</v>
      </c>
      <c r="C4" s="353"/>
      <c r="D4" s="11" t="s">
        <v>319</v>
      </c>
      <c r="E4" s="12"/>
      <c r="F4" s="12"/>
      <c r="G4" s="11"/>
      <c r="H4" s="352" t="s">
        <v>320</v>
      </c>
      <c r="I4" s="352"/>
      <c r="J4" s="353"/>
      <c r="K4" s="9"/>
      <c r="M4" s="7" t="s">
        <v>214</v>
      </c>
    </row>
    <row r="5" spans="1:16">
      <c r="A5" s="7"/>
      <c r="B5" s="7"/>
      <c r="C5" s="7"/>
      <c r="D5" s="7"/>
      <c r="E5" s="7"/>
      <c r="F5" s="7"/>
      <c r="G5" s="7"/>
      <c r="H5" s="7"/>
      <c r="I5" s="7"/>
      <c r="J5" s="7"/>
      <c r="K5" s="9"/>
    </row>
    <row r="6" spans="1:16" ht="13.5" customHeight="1">
      <c r="A6" s="7"/>
      <c r="B6" s="372"/>
      <c r="C6" s="372"/>
      <c r="D6" s="372"/>
      <c r="E6" s="372"/>
      <c r="F6" s="372"/>
      <c r="G6" s="372"/>
      <c r="H6" s="372"/>
      <c r="I6" s="372"/>
      <c r="J6" s="372"/>
      <c r="K6" s="372"/>
    </row>
    <row r="7" spans="1:16" ht="22.5" customHeight="1">
      <c r="A7" s="7"/>
      <c r="B7" s="355" t="s">
        <v>224</v>
      </c>
      <c r="C7" s="355"/>
      <c r="D7" s="355"/>
      <c r="E7" s="355"/>
      <c r="F7" s="355"/>
      <c r="G7" s="355"/>
      <c r="H7" s="7"/>
      <c r="I7" s="7"/>
      <c r="J7" s="7"/>
      <c r="K7" s="7"/>
    </row>
    <row r="8" spans="1:16">
      <c r="A8" s="7"/>
      <c r="B8" s="255" t="str">
        <f ca="1">OFFSET(LaborForce!$S$5,LaborForce!$S$4,0)</f>
        <v>United States - Not Seasonally Adjusted</v>
      </c>
      <c r="C8" s="256"/>
      <c r="D8" s="256"/>
      <c r="E8" s="271"/>
      <c r="F8" s="256"/>
      <c r="G8" s="256"/>
      <c r="H8" s="363" t="s">
        <v>122</v>
      </c>
      <c r="I8" s="364"/>
      <c r="J8" s="364"/>
      <c r="K8" s="365"/>
      <c r="M8" s="369" t="s">
        <v>81</v>
      </c>
      <c r="N8" s="370"/>
      <c r="O8" s="370"/>
      <c r="P8" s="371"/>
    </row>
    <row r="9" spans="1:16">
      <c r="A9" s="7"/>
      <c r="B9" s="257" t="str">
        <f>IF(LaborForce!$S$4&gt;4,"Not Seasonally Adjusted"," ")</f>
        <v xml:space="preserve"> </v>
      </c>
      <c r="C9" s="258"/>
      <c r="D9" s="258"/>
      <c r="E9" s="258"/>
      <c r="F9" s="258"/>
      <c r="G9" s="259" t="s">
        <v>228</v>
      </c>
      <c r="H9" s="366" t="str">
        <f ca="1">OFFSET(LaborForce!$S$5,LaborForce!$S$4,0)</f>
        <v>United States - Not Seasonally Adjusted</v>
      </c>
      <c r="I9" s="367"/>
      <c r="J9" s="367"/>
      <c r="K9" s="368"/>
    </row>
    <row r="10" spans="1:16" ht="10.5" customHeight="1">
      <c r="A10" s="7"/>
      <c r="B10" s="260"/>
      <c r="C10" s="261" t="s">
        <v>86</v>
      </c>
      <c r="D10" s="261" t="s">
        <v>87</v>
      </c>
      <c r="E10" s="261" t="s">
        <v>88</v>
      </c>
      <c r="F10" s="261"/>
      <c r="G10" s="261" t="s">
        <v>89</v>
      </c>
      <c r="H10" s="366"/>
      <c r="I10" s="367"/>
      <c r="J10" s="367"/>
      <c r="K10" s="368"/>
    </row>
    <row r="11" spans="1:16">
      <c r="A11" s="7"/>
      <c r="B11" s="13" t="str">
        <f>LaborForce!B4</f>
        <v>Sep-23</v>
      </c>
      <c r="C11" s="14">
        <f ca="1">OFFSET(LaborForce!$A$5,LaborForce!$R$4,1)</f>
        <v>167718000</v>
      </c>
      <c r="D11" s="14">
        <f ca="1">OFFSET(LaborForce!$A$5,LaborForce!$R$4+1,1)</f>
        <v>161669000</v>
      </c>
      <c r="E11" s="14">
        <f ca="1">OFFSET(LaborForce!$A$5,LaborForce!$R$4+2,1)</f>
        <v>6049000</v>
      </c>
      <c r="F11" s="14"/>
      <c r="G11" s="116">
        <f ca="1">OFFSET(LaborForce!$A$5,LaborForce!$R$4+3,1)</f>
        <v>3.5999999999999997E-2</v>
      </c>
      <c r="H11" s="16"/>
      <c r="I11" s="7"/>
      <c r="J11" s="7"/>
      <c r="K11" s="17"/>
    </row>
    <row r="12" spans="1:16">
      <c r="A12" s="7"/>
      <c r="B12" s="262" t="str">
        <f>LaborForce!C4</f>
        <v>Oct-23</v>
      </c>
      <c r="C12" s="263">
        <f ca="1">OFFSET(LaborForce!$A$5,LaborForce!$R$4,2)</f>
        <v>167774000</v>
      </c>
      <c r="D12" s="263">
        <f ca="1">OFFSET(LaborForce!$A$5,LaborForce!$R$4+1,2)</f>
        <v>161676000</v>
      </c>
      <c r="E12" s="263">
        <f ca="1">OFFSET(LaborForce!$A$5,LaborForce!$R$4+2,2)</f>
        <v>6098000</v>
      </c>
      <c r="F12" s="263"/>
      <c r="G12" s="264">
        <f ca="1">OFFSET(LaborForce!$A$5,LaborForce!$R$4+3,2)</f>
        <v>3.5999999999999997E-2</v>
      </c>
      <c r="H12" s="16"/>
      <c r="I12" s="7"/>
      <c r="J12" s="7"/>
      <c r="K12" s="17"/>
    </row>
    <row r="13" spans="1:16">
      <c r="A13" s="7"/>
      <c r="B13" s="13" t="str">
        <f>LaborForce!D4</f>
        <v>Nov-23</v>
      </c>
      <c r="C13" s="14">
        <f ca="1">OFFSET(LaborForce!$A$5,LaborForce!$R$4,3)</f>
        <v>167977000</v>
      </c>
      <c r="D13" s="14">
        <f ca="1">OFFSET(LaborForce!$A$5,LaborForce!$R$4+1,3)</f>
        <v>162149000</v>
      </c>
      <c r="E13" s="14">
        <f ca="1">OFFSET(LaborForce!$A$5,LaborForce!$R$4+2,3)</f>
        <v>5827000</v>
      </c>
      <c r="F13" s="14"/>
      <c r="G13" s="116">
        <f ca="1">OFFSET(LaborForce!$A$5,LaborForce!$R$4+3,3)</f>
        <v>3.5000000000000003E-2</v>
      </c>
      <c r="H13" s="16"/>
      <c r="I13" s="7"/>
      <c r="J13" s="7"/>
      <c r="K13" s="17"/>
      <c r="M13" s="78"/>
      <c r="N13" s="78"/>
      <c r="O13" s="78"/>
      <c r="P13" s="78"/>
    </row>
    <row r="14" spans="1:16">
      <c r="A14" s="7"/>
      <c r="B14" s="262" t="str">
        <f>LaborForce!E4</f>
        <v>Dec-23</v>
      </c>
      <c r="C14" s="263">
        <f ca="1">OFFSET(LaborForce!$A$5,LaborForce!$R$4,4)</f>
        <v>166661000</v>
      </c>
      <c r="D14" s="263">
        <f ca="1">OFFSET(LaborForce!$A$5,LaborForce!$R$4+1,4)</f>
        <v>160754000</v>
      </c>
      <c r="E14" s="263">
        <f ca="1">OFFSET(LaborForce!$A$5,LaborForce!$R$4+2,4)</f>
        <v>5907000</v>
      </c>
      <c r="F14" s="263"/>
      <c r="G14" s="264">
        <f ca="1">OFFSET(LaborForce!$A$5,LaborForce!$R$4+3,4)</f>
        <v>3.5000000000000003E-2</v>
      </c>
      <c r="H14" s="16"/>
      <c r="I14" s="7"/>
      <c r="J14" s="7"/>
      <c r="K14" s="17"/>
    </row>
    <row r="15" spans="1:16">
      <c r="A15" s="7"/>
      <c r="B15" s="13" t="str">
        <f>LaborForce!F4</f>
        <v>Jan-24</v>
      </c>
      <c r="C15" s="14">
        <f ca="1">OFFSET(LaborForce!$A$5,LaborForce!$R$4,5)</f>
        <v>166428000</v>
      </c>
      <c r="D15" s="14">
        <f ca="1">OFFSET(LaborForce!$A$5,LaborForce!$R$4+1,5)</f>
        <v>159650000</v>
      </c>
      <c r="E15" s="14">
        <f ca="1">OFFSET(LaborForce!$A$5,LaborForce!$R$4+2,5)</f>
        <v>6778000</v>
      </c>
      <c r="F15" s="14"/>
      <c r="G15" s="116">
        <f ca="1">OFFSET(LaborForce!$A$5,LaborForce!$R$4+3,5)</f>
        <v>4.1000000000000002E-2</v>
      </c>
      <c r="H15" s="16"/>
      <c r="I15" s="7"/>
      <c r="J15" s="7"/>
      <c r="K15" s="17"/>
    </row>
    <row r="16" spans="1:16">
      <c r="A16" s="7"/>
      <c r="B16" s="262" t="str">
        <f>LaborForce!G4</f>
        <v>Feb-24</v>
      </c>
      <c r="C16" s="263">
        <f ca="1">OFFSET(LaborForce!$A$5,LaborForce!$R$4,6)</f>
        <v>167285000</v>
      </c>
      <c r="D16" s="263">
        <f ca="1">OFFSET(LaborForce!$A$5,LaborForce!$R$4+1,6)</f>
        <v>160315000</v>
      </c>
      <c r="E16" s="263">
        <f ca="1">OFFSET(LaborForce!$A$5,LaborForce!$R$4+2,6)</f>
        <v>6970000</v>
      </c>
      <c r="F16" s="263"/>
      <c r="G16" s="264">
        <f ca="1">OFFSET(LaborForce!$A$5,LaborForce!$R$4+3,6)</f>
        <v>4.2000000000000003E-2</v>
      </c>
      <c r="H16" s="16"/>
      <c r="I16" s="7"/>
      <c r="J16" s="7"/>
      <c r="K16" s="17"/>
    </row>
    <row r="17" spans="1:16">
      <c r="A17" s="7"/>
      <c r="B17" s="13" t="str">
        <f>LaborForce!H4</f>
        <v>Mar-24</v>
      </c>
      <c r="C17" s="14">
        <f ca="1">OFFSET(LaborForce!$A$5,LaborForce!$R$4,7)</f>
        <v>167960000</v>
      </c>
      <c r="D17" s="14">
        <f ca="1">OFFSET(LaborForce!$A$5,LaborForce!$R$4+1,7)</f>
        <v>161356000</v>
      </c>
      <c r="E17" s="14">
        <f ca="1">OFFSET(LaborForce!$A$5,LaborForce!$R$4+2,7)</f>
        <v>6604000</v>
      </c>
      <c r="F17" s="14"/>
      <c r="G17" s="116">
        <f ca="1">OFFSET(LaborForce!$A$5,LaborForce!$R$4+3,7)</f>
        <v>3.9E-2</v>
      </c>
      <c r="H17" s="16"/>
      <c r="I17" s="7"/>
      <c r="J17" s="7"/>
      <c r="K17" s="17"/>
    </row>
    <row r="18" spans="1:16">
      <c r="A18" s="7"/>
      <c r="B18" s="262" t="str">
        <f>LaborForce!I4</f>
        <v>Apr-24</v>
      </c>
      <c r="C18" s="263">
        <f ca="1">OFFSET(LaborForce!$A$5,LaborForce!$R$4,8)</f>
        <v>167484000</v>
      </c>
      <c r="D18" s="263">
        <f ca="1">OFFSET(LaborForce!$A$5,LaborForce!$R$4+1,8)</f>
        <v>161590000</v>
      </c>
      <c r="E18" s="263">
        <f ca="1">OFFSET(LaborForce!$A$5,LaborForce!$R$4+2,8)</f>
        <v>5894000</v>
      </c>
      <c r="F18" s="263"/>
      <c r="G18" s="264">
        <f ca="1">OFFSET(LaborForce!$A$5,LaborForce!$R$4+3,8)</f>
        <v>3.5000000000000003E-2</v>
      </c>
      <c r="H18" s="16"/>
      <c r="I18" s="7"/>
      <c r="J18" s="7"/>
      <c r="K18" s="17"/>
    </row>
    <row r="19" spans="1:16">
      <c r="A19" s="7"/>
      <c r="B19" s="13" t="str">
        <f>LaborForce!J4</f>
        <v>May-24</v>
      </c>
      <c r="C19" s="14">
        <f ca="1">OFFSET(LaborForce!$A$5,LaborForce!$R$4,9)</f>
        <v>167576000</v>
      </c>
      <c r="D19" s="14">
        <f ca="1">OFFSET(LaborForce!$A$5,LaborForce!$R$4+1,9)</f>
        <v>161341000</v>
      </c>
      <c r="E19" s="14">
        <f ca="1">OFFSET(LaborForce!$A$5,LaborForce!$R$4+2,9)</f>
        <v>6235000</v>
      </c>
      <c r="F19" s="14"/>
      <c r="G19" s="116">
        <f ca="1">OFFSET(LaborForce!$A$5,LaborForce!$R$4+3,9)</f>
        <v>3.6999999999999998E-2</v>
      </c>
      <c r="H19" s="16"/>
      <c r="I19" s="7"/>
      <c r="J19" s="7"/>
      <c r="K19" s="17"/>
    </row>
    <row r="20" spans="1:16">
      <c r="A20" s="7"/>
      <c r="B20" s="262" t="str">
        <f>LaborForce!K4</f>
        <v>Jun-24</v>
      </c>
      <c r="C20" s="263">
        <f ca="1">OFFSET(LaborForce!$A$5,LaborForce!$R$4,10)</f>
        <v>169007000</v>
      </c>
      <c r="D20" s="263">
        <f ca="1">OFFSET(LaborForce!$A$5,LaborForce!$R$4+1,10)</f>
        <v>161774000</v>
      </c>
      <c r="E20" s="263">
        <f ca="1">OFFSET(LaborForce!$A$5,LaborForce!$R$4+2,10)</f>
        <v>7233000</v>
      </c>
      <c r="F20" s="263"/>
      <c r="G20" s="264">
        <f ca="1">OFFSET(LaborForce!$A$5,LaborForce!$R$4+3,10)</f>
        <v>4.2999999999999997E-2</v>
      </c>
      <c r="H20" s="16"/>
      <c r="I20" s="7"/>
      <c r="J20" s="7"/>
      <c r="K20" s="17"/>
    </row>
    <row r="21" spans="1:16">
      <c r="A21" s="7"/>
      <c r="B21" s="13" t="str">
        <f>LaborForce!L4</f>
        <v>Jul-24</v>
      </c>
      <c r="C21" s="25">
        <f ca="1">OFFSET(LaborForce!$A$5,LaborForce!$R$4,11)</f>
        <v>169723000</v>
      </c>
      <c r="D21" s="25">
        <f ca="1">OFFSET(LaborForce!$A$5,LaborForce!$R$4+1,11)</f>
        <v>162038000</v>
      </c>
      <c r="E21" s="25">
        <f ca="1">OFFSET(LaborForce!$A$5,LaborForce!$R$4+2,11)</f>
        <v>7685000</v>
      </c>
      <c r="F21" s="25"/>
      <c r="G21" s="186">
        <f ca="1">OFFSET(LaborForce!$A$5,LaborForce!$R$4+3,11)</f>
        <v>4.4999999999999998E-2</v>
      </c>
      <c r="H21" s="16"/>
      <c r="I21" s="7"/>
      <c r="J21" s="7"/>
      <c r="K21" s="17"/>
    </row>
    <row r="22" spans="1:16">
      <c r="A22" s="7"/>
      <c r="B22" s="262" t="str">
        <f>LaborForce!M4</f>
        <v>Aug-24</v>
      </c>
      <c r="C22" s="263">
        <f ca="1">OFFSET(LaborForce!$A$5,LaborForce!$R$4,12)</f>
        <v>168763000</v>
      </c>
      <c r="D22" s="263">
        <f ca="1">OFFSET(LaborForce!$A$5,LaborForce!$R$4+1,12)</f>
        <v>161348000</v>
      </c>
      <c r="E22" s="263">
        <f ca="1">OFFSET(LaborForce!$A$5,LaborForce!$R$4+2,12)</f>
        <v>7415000</v>
      </c>
      <c r="F22" s="263"/>
      <c r="G22" s="264">
        <f ca="1">OFFSET(LaborForce!$A$5,LaborForce!$R$4+3,12)</f>
        <v>4.3999999999999997E-2</v>
      </c>
      <c r="H22" s="16"/>
      <c r="I22" s="7"/>
      <c r="J22" s="7"/>
      <c r="K22" s="17"/>
    </row>
    <row r="23" spans="1:16">
      <c r="A23" s="7"/>
      <c r="B23" s="18" t="str">
        <f>LaborForce!N4</f>
        <v>Sep-24</v>
      </c>
      <c r="C23" s="19">
        <f ca="1">OFFSET(LaborForce!$A$5,LaborForce!$R$4,13)</f>
        <v>168569000</v>
      </c>
      <c r="D23" s="19">
        <f ca="1">OFFSET(LaborForce!$A$5,LaborForce!$R$4+1,13)</f>
        <v>162046000</v>
      </c>
      <c r="E23" s="19">
        <f ca="1">OFFSET(LaborForce!$A$5,LaborForce!$R$4+2,13)</f>
        <v>6524000</v>
      </c>
      <c r="F23" s="19"/>
      <c r="G23" s="187">
        <f ca="1">OFFSET(LaborForce!$A$5,LaborForce!$R$4+3,13)</f>
        <v>3.9E-2</v>
      </c>
      <c r="H23" s="20"/>
      <c r="I23" s="21"/>
      <c r="J23" s="21"/>
      <c r="K23" s="22"/>
    </row>
    <row r="24" spans="1:16" ht="15" customHeight="1">
      <c r="A24" s="7"/>
      <c r="B24" s="23" t="s">
        <v>237</v>
      </c>
      <c r="C24" s="14"/>
      <c r="D24" s="14"/>
      <c r="E24" s="7"/>
      <c r="F24" s="7"/>
      <c r="G24" s="15"/>
      <c r="H24" s="7"/>
      <c r="I24" s="7"/>
      <c r="J24" s="7"/>
      <c r="K24" s="9" t="s">
        <v>402</v>
      </c>
    </row>
    <row r="25" spans="1:16">
      <c r="A25" s="7"/>
      <c r="B25" s="7"/>
      <c r="C25" s="7"/>
      <c r="D25" s="7"/>
      <c r="E25" s="7"/>
      <c r="F25" s="7"/>
      <c r="G25" s="7"/>
      <c r="H25" s="7"/>
      <c r="I25" s="7"/>
      <c r="J25" s="7"/>
      <c r="K25" s="7"/>
      <c r="O25" s="248"/>
    </row>
    <row r="26" spans="1:16" ht="13.5" customHeight="1">
      <c r="A26" s="7"/>
      <c r="B26" s="372"/>
      <c r="C26" s="372"/>
      <c r="D26" s="372"/>
      <c r="E26" s="372"/>
      <c r="F26" s="372"/>
      <c r="G26" s="372"/>
      <c r="H26" s="372"/>
      <c r="I26" s="372"/>
      <c r="J26" s="372"/>
      <c r="K26" s="372"/>
    </row>
    <row r="27" spans="1:16" ht="22.5" customHeight="1">
      <c r="A27" s="7"/>
      <c r="B27" s="355" t="s">
        <v>225</v>
      </c>
      <c r="C27" s="355"/>
      <c r="D27" s="355"/>
      <c r="E27" s="355"/>
      <c r="F27" s="355"/>
      <c r="G27" s="355"/>
      <c r="H27" s="7"/>
      <c r="I27" s="7"/>
      <c r="J27" s="7"/>
      <c r="K27" s="7"/>
    </row>
    <row r="28" spans="1:16">
      <c r="A28" s="7"/>
      <c r="B28" s="255" t="str">
        <f ca="1">OFFSET(CES!$F$3,CES!$F$2,0)</f>
        <v>New Hampshire, Not Seasonally Adjusted</v>
      </c>
      <c r="C28" s="256"/>
      <c r="D28" s="256"/>
      <c r="E28" s="256"/>
      <c r="F28" s="256"/>
      <c r="G28" s="256"/>
      <c r="H28" s="256"/>
      <c r="I28" s="256"/>
      <c r="J28" s="265" t="s">
        <v>142</v>
      </c>
      <c r="K28" s="266" t="s">
        <v>143</v>
      </c>
      <c r="M28" s="369" t="s">
        <v>81</v>
      </c>
      <c r="N28" s="370"/>
      <c r="O28" s="370"/>
      <c r="P28" s="371"/>
    </row>
    <row r="29" spans="1:16">
      <c r="A29" s="7"/>
      <c r="B29" s="260"/>
      <c r="C29" s="267"/>
      <c r="D29" s="267"/>
      <c r="E29" s="268">
        <f>CES!G15</f>
        <v>45536</v>
      </c>
      <c r="F29" s="268"/>
      <c r="G29" s="269">
        <f>CES!G16</f>
        <v>45505</v>
      </c>
      <c r="H29" s="268">
        <f>CES!G17</f>
        <v>45170</v>
      </c>
      <c r="I29" s="261"/>
      <c r="J29" s="261" t="s">
        <v>141</v>
      </c>
      <c r="K29" s="270" t="s">
        <v>141</v>
      </c>
    </row>
    <row r="30" spans="1:16">
      <c r="A30" s="7"/>
      <c r="B30" s="55" t="str">
        <f>CES!B1</f>
        <v xml:space="preserve">Total Nonfarm      </v>
      </c>
      <c r="C30" s="24"/>
      <c r="D30" s="24"/>
      <c r="E30" s="25">
        <f ca="1">OFFSET(CES!$A$1,CES!$E$2,2)</f>
        <v>717200</v>
      </c>
      <c r="F30" s="25"/>
      <c r="G30" s="25">
        <f ca="1">OFFSET(CES!$A$1,CES!$E$2,3)</f>
        <v>715900</v>
      </c>
      <c r="H30" s="25">
        <f ca="1">OFFSET(CES!$A$1,CES!$E$2,4)</f>
        <v>703700</v>
      </c>
      <c r="I30" s="25"/>
      <c r="J30" s="189">
        <f ca="1">OFFSET(CES!$A$1,CES!$E$2,6)</f>
        <v>1.8E-3</v>
      </c>
      <c r="K30" s="245">
        <f ca="1">OFFSET(CES!$A$1,CES!$E$2,8)</f>
        <v>1.9199999999999998E-2</v>
      </c>
    </row>
    <row r="31" spans="1:16">
      <c r="A31" s="7"/>
      <c r="B31" s="46" t="str">
        <f>CES!B2</f>
        <v>Total Private</v>
      </c>
      <c r="C31" s="7"/>
      <c r="D31" s="7"/>
      <c r="E31" s="25">
        <f ca="1">OFFSET(CES!$A$1,CES!$E$2+1,2)</f>
        <v>625800</v>
      </c>
      <c r="F31" s="25"/>
      <c r="G31" s="25">
        <f ca="1">OFFSET(CES!$A$1,CES!$E$2+1,3)</f>
        <v>635000</v>
      </c>
      <c r="H31" s="25">
        <f ca="1">OFFSET(CES!$A$1,CES!$E$2+1,4)</f>
        <v>615300</v>
      </c>
      <c r="I31" s="25"/>
      <c r="J31" s="189">
        <f ca="1">OFFSET(CES!$A$1,CES!$E$2+1,6)</f>
        <v>-1.4500000000000001E-2</v>
      </c>
      <c r="K31" s="245">
        <f ca="1">OFFSET(CES!$A$1,CES!$E$2+1,8)</f>
        <v>1.7100000000000001E-2</v>
      </c>
    </row>
    <row r="32" spans="1:16">
      <c r="A32" s="7"/>
      <c r="B32" s="72" t="str">
        <f>CES!B3</f>
        <v>Goods-Producing Industries</v>
      </c>
      <c r="C32" s="7"/>
      <c r="D32" s="7"/>
      <c r="E32" s="25">
        <f ca="1">OFFSET(CES!$A$1,CES!$E$2+2,2)</f>
        <v>104100</v>
      </c>
      <c r="F32" s="25"/>
      <c r="G32" s="25">
        <f ca="1">OFFSET(CES!$A$1,CES!$E$2+2,3)</f>
        <v>104500</v>
      </c>
      <c r="H32" s="25">
        <f ca="1">OFFSET(CES!$A$1,CES!$E$2+2,4)</f>
        <v>103700</v>
      </c>
      <c r="I32" s="25"/>
      <c r="J32" s="189">
        <f ca="1">OFFSET(CES!$A$1,CES!$E$2+2,6)</f>
        <v>-3.8E-3</v>
      </c>
      <c r="K32" s="245">
        <f ca="1">OFFSET(CES!$A$1,CES!$E$2+2,8)</f>
        <v>3.8999999999999998E-3</v>
      </c>
    </row>
    <row r="33" spans="1:11">
      <c r="A33" s="7"/>
      <c r="B33" s="72" t="str">
        <f>CES!B4</f>
        <v>Service-Providing Industries</v>
      </c>
      <c r="C33" s="7"/>
      <c r="D33" s="7"/>
      <c r="E33" s="25">
        <f ca="1">OFFSET(CES!$A$1,CES!$E$2+3,2)</f>
        <v>613100</v>
      </c>
      <c r="F33" s="25"/>
      <c r="G33" s="25">
        <f ca="1">OFFSET(CES!$A$1,CES!$E$2+3,3)</f>
        <v>611400</v>
      </c>
      <c r="H33" s="25">
        <f ca="1">OFFSET(CES!$A$1,CES!$E$2+3,4)</f>
        <v>600000</v>
      </c>
      <c r="I33" s="25"/>
      <c r="J33" s="189">
        <f ca="1">OFFSET(CES!$A$1,CES!$E$2+3,6)</f>
        <v>2.8E-3</v>
      </c>
      <c r="K33" s="245">
        <f ca="1">OFFSET(CES!$A$1,CES!$E$2+3,8)</f>
        <v>2.18E-2</v>
      </c>
    </row>
    <row r="34" spans="1:11">
      <c r="A34" s="7"/>
      <c r="B34" s="66" t="str">
        <f>CES!B5</f>
        <v>Private Service-Providing</v>
      </c>
      <c r="C34" s="7"/>
      <c r="D34" s="7"/>
      <c r="E34" s="25">
        <f ca="1">OFFSET(CES!$A$1,CES!$E$2+4,2)</f>
        <v>521700</v>
      </c>
      <c r="F34" s="25"/>
      <c r="G34" s="25">
        <f ca="1">OFFSET(CES!$A$1,CES!$E$2+4,3)</f>
        <v>530500</v>
      </c>
      <c r="H34" s="25">
        <f ca="1">OFFSET(CES!$A$1,CES!$E$2+4,4)</f>
        <v>511600</v>
      </c>
      <c r="I34" s="25"/>
      <c r="J34" s="189">
        <f ca="1">OFFSET(CES!$A$1,CES!$E$2+4,6)</f>
        <v>-1.66E-2</v>
      </c>
      <c r="K34" s="245">
        <f ca="1">OFFSET(CES!$A$1,CES!$E$2+4,8)</f>
        <v>1.9699999999999999E-2</v>
      </c>
    </row>
    <row r="35" spans="1:11">
      <c r="A35" s="7"/>
      <c r="B35" s="72" t="str">
        <f>CES!B6</f>
        <v xml:space="preserve">Mining, Logging, and Construction     </v>
      </c>
      <c r="C35" s="7"/>
      <c r="D35" s="7"/>
      <c r="E35" s="25">
        <f ca="1">OFFSET(CES!$A$1,CES!$E$2+5,2)</f>
        <v>33800</v>
      </c>
      <c r="F35" s="25"/>
      <c r="G35" s="25">
        <f ca="1">OFFSET(CES!$A$1,CES!$E$2+5,3)</f>
        <v>34300</v>
      </c>
      <c r="H35" s="25">
        <f ca="1">OFFSET(CES!$A$1,CES!$E$2+5,4)</f>
        <v>33200</v>
      </c>
      <c r="I35" s="25"/>
      <c r="J35" s="189">
        <f ca="1">OFFSET(CES!$A$1,CES!$E$2+5,6)</f>
        <v>-1.46E-2</v>
      </c>
      <c r="K35" s="245">
        <f ca="1">OFFSET(CES!$A$1,CES!$E$2+5,8)</f>
        <v>1.8100000000000002E-2</v>
      </c>
    </row>
    <row r="36" spans="1:11">
      <c r="A36" s="7"/>
      <c r="B36" s="66" t="str">
        <f>CES!B7</f>
        <v>Mining and Logging</v>
      </c>
      <c r="C36" s="7"/>
      <c r="D36" s="7"/>
      <c r="E36" s="25">
        <f ca="1">OFFSET(CES!$A$1,CES!$E$2+6,2)</f>
        <v>900</v>
      </c>
      <c r="F36" s="25"/>
      <c r="G36" s="25">
        <f ca="1">OFFSET(CES!$A$1,CES!$E$2+6,3)</f>
        <v>900</v>
      </c>
      <c r="H36" s="25">
        <f ca="1">OFFSET(CES!$A$1,CES!$E$2+6,4)</f>
        <v>900</v>
      </c>
      <c r="I36" s="25"/>
      <c r="J36" s="189">
        <f ca="1">OFFSET(CES!$A$1,CES!$E$2+6,6)</f>
        <v>0</v>
      </c>
      <c r="K36" s="245">
        <f ca="1">OFFSET(CES!$A$1,CES!$E$2+6,8)</f>
        <v>0</v>
      </c>
    </row>
    <row r="37" spans="1:11">
      <c r="A37" s="7"/>
      <c r="B37" s="66" t="str">
        <f>CES!B8</f>
        <v>Construction</v>
      </c>
      <c r="C37" s="7"/>
      <c r="D37" s="7"/>
      <c r="E37" s="25">
        <f ca="1">OFFSET(CES!$A$1,CES!$E$2+7,2)</f>
        <v>32900</v>
      </c>
      <c r="F37" s="25"/>
      <c r="G37" s="25">
        <f ca="1">OFFSET(CES!$A$1,CES!$E$2+7,3)</f>
        <v>33400</v>
      </c>
      <c r="H37" s="25">
        <f ca="1">OFFSET(CES!$A$1,CES!$E$2+7,4)</f>
        <v>32300</v>
      </c>
      <c r="I37" s="25"/>
      <c r="J37" s="189">
        <f ca="1">OFFSET(CES!$A$1,CES!$E$2+7,6)</f>
        <v>-1.4999999999999999E-2</v>
      </c>
      <c r="K37" s="245">
        <f ca="1">OFFSET(CES!$A$1,CES!$E$2+7,8)</f>
        <v>1.8599999999999998E-2</v>
      </c>
    </row>
    <row r="38" spans="1:11">
      <c r="A38" s="7"/>
      <c r="B38" s="72" t="str">
        <f>CES!B9</f>
        <v xml:space="preserve">Manufacturing  </v>
      </c>
      <c r="C38" s="7"/>
      <c r="D38" s="7"/>
      <c r="E38" s="25">
        <f ca="1">OFFSET(CES!$A$1,CES!$E$2+8,2)</f>
        <v>70300</v>
      </c>
      <c r="F38" s="25"/>
      <c r="G38" s="25">
        <f ca="1">OFFSET(CES!$A$1,CES!$E$2+8,3)</f>
        <v>70200</v>
      </c>
      <c r="H38" s="25">
        <f ca="1">OFFSET(CES!$A$1,CES!$E$2+8,4)</f>
        <v>70500</v>
      </c>
      <c r="I38" s="25"/>
      <c r="J38" s="189">
        <f ca="1">OFFSET(CES!$A$1,CES!$E$2+8,6)</f>
        <v>1.4E-3</v>
      </c>
      <c r="K38" s="245">
        <f ca="1">OFFSET(CES!$A$1,CES!$E$2+8,8)</f>
        <v>-2.8E-3</v>
      </c>
    </row>
    <row r="39" spans="1:11">
      <c r="A39" s="7"/>
      <c r="B39" s="72" t="str">
        <f>CES!B10</f>
        <v>Trade, Transportation, and Utilities</v>
      </c>
      <c r="C39" s="7"/>
      <c r="D39" s="7"/>
      <c r="E39" s="25">
        <f ca="1">OFFSET(CES!$A$1,CES!$E$2+9,2)</f>
        <v>139100</v>
      </c>
      <c r="F39" s="25"/>
      <c r="G39" s="25">
        <f ca="1">OFFSET(CES!$A$1,CES!$E$2+9,3)</f>
        <v>140800</v>
      </c>
      <c r="H39" s="25">
        <f ca="1">OFFSET(CES!$A$1,CES!$E$2+9,4)</f>
        <v>139300</v>
      </c>
      <c r="I39" s="25"/>
      <c r="J39" s="189">
        <f ca="1">OFFSET(CES!$A$1,CES!$E$2+9,6)</f>
        <v>-1.21E-2</v>
      </c>
      <c r="K39" s="245">
        <f ca="1">OFFSET(CES!$A$1,CES!$E$2+9,8)</f>
        <v>-1.4E-3</v>
      </c>
    </row>
    <row r="40" spans="1:11">
      <c r="A40" s="7"/>
      <c r="B40" s="66" t="str">
        <f>CES!B11</f>
        <v xml:space="preserve">Wholesale Trade  </v>
      </c>
      <c r="C40" s="7"/>
      <c r="D40" s="7"/>
      <c r="E40" s="25">
        <f ca="1">OFFSET(CES!$A$1,CES!$E$2+10,2)</f>
        <v>31000</v>
      </c>
      <c r="F40" s="25"/>
      <c r="G40" s="25">
        <f ca="1">OFFSET(CES!$A$1,CES!$E$2+10,3)</f>
        <v>31300</v>
      </c>
      <c r="H40" s="25">
        <f ca="1">OFFSET(CES!$A$1,CES!$E$2+10,4)</f>
        <v>31300</v>
      </c>
      <c r="I40" s="25"/>
      <c r="J40" s="189">
        <f ca="1">OFFSET(CES!$A$1,CES!$E$2+10,6)</f>
        <v>-9.5999999999999992E-3</v>
      </c>
      <c r="K40" s="245">
        <f ca="1">OFFSET(CES!$A$1,CES!$E$2+10,8)</f>
        <v>-9.5999999999999992E-3</v>
      </c>
    </row>
    <row r="41" spans="1:11">
      <c r="A41" s="7"/>
      <c r="B41" s="66" t="str">
        <f>CES!B12</f>
        <v xml:space="preserve">Retail Trade                                                </v>
      </c>
      <c r="C41" s="7"/>
      <c r="D41" s="7"/>
      <c r="E41" s="25">
        <f ca="1">OFFSET(CES!$A$1,CES!$E$2+11,2)</f>
        <v>89400</v>
      </c>
      <c r="F41" s="25"/>
      <c r="G41" s="25">
        <f ca="1">OFFSET(CES!$A$1,CES!$E$2+11,3)</f>
        <v>91400</v>
      </c>
      <c r="H41" s="25">
        <f ca="1">OFFSET(CES!$A$1,CES!$E$2+11,4)</f>
        <v>89400</v>
      </c>
      <c r="I41" s="25"/>
      <c r="J41" s="189">
        <f ca="1">OFFSET(CES!$A$1,CES!$E$2+11,6)</f>
        <v>-2.1899999999999999E-2</v>
      </c>
      <c r="K41" s="245">
        <f ca="1">OFFSET(CES!$A$1,CES!$E$2+11,8)</f>
        <v>0</v>
      </c>
    </row>
    <row r="42" spans="1:11">
      <c r="A42" s="7"/>
      <c r="B42" s="66" t="str">
        <f>CES!B13</f>
        <v xml:space="preserve">Transportation, Warehousing, and Utilities       </v>
      </c>
      <c r="C42" s="7"/>
      <c r="D42" s="7"/>
      <c r="E42" s="25">
        <f ca="1">OFFSET(CES!$A$1,CES!$E$2+12,2)</f>
        <v>18700</v>
      </c>
      <c r="F42" s="25"/>
      <c r="G42" s="25">
        <f ca="1">OFFSET(CES!$A$1,CES!$E$2+12,3)</f>
        <v>18100</v>
      </c>
      <c r="H42" s="25">
        <f ca="1">OFFSET(CES!$A$1,CES!$E$2+12,4)</f>
        <v>18600</v>
      </c>
      <c r="I42" s="25"/>
      <c r="J42" s="189">
        <f ca="1">OFFSET(CES!$A$1,CES!$E$2+12,6)</f>
        <v>3.3099999999999997E-2</v>
      </c>
      <c r="K42" s="245">
        <f ca="1">OFFSET(CES!$A$1,CES!$E$2+12,8)</f>
        <v>5.4000000000000003E-3</v>
      </c>
    </row>
    <row r="43" spans="1:11">
      <c r="A43" s="7"/>
      <c r="B43" s="72" t="str">
        <f>CES!B14</f>
        <v>Information</v>
      </c>
      <c r="C43" s="7"/>
      <c r="D43" s="7"/>
      <c r="E43" s="25">
        <f ca="1">OFFSET(CES!$A$1,CES!$E$2+13,2)</f>
        <v>11500</v>
      </c>
      <c r="F43" s="25"/>
      <c r="G43" s="25">
        <f ca="1">OFFSET(CES!$A$1,CES!$E$2+13,3)</f>
        <v>11600</v>
      </c>
      <c r="H43" s="25">
        <f ca="1">OFFSET(CES!$A$1,CES!$E$2+13,4)</f>
        <v>11700</v>
      </c>
      <c r="I43" s="25"/>
      <c r="J43" s="189">
        <f ca="1">OFFSET(CES!$A$1,CES!$E$2+13,6)</f>
        <v>-8.6E-3</v>
      </c>
      <c r="K43" s="245">
        <f ca="1">OFFSET(CES!$A$1,CES!$E$2+13,8)</f>
        <v>-1.7100000000000001E-2</v>
      </c>
    </row>
    <row r="44" spans="1:11">
      <c r="A44" s="7"/>
      <c r="B44" s="72" t="str">
        <f>CES!B15</f>
        <v>Financial Activities</v>
      </c>
      <c r="C44" s="7"/>
      <c r="D44" s="7"/>
      <c r="E44" s="25">
        <f ca="1">OFFSET(CES!$A$1,CES!$E$2+14,2)</f>
        <v>34700</v>
      </c>
      <c r="F44" s="25"/>
      <c r="G44" s="25">
        <f ca="1">OFFSET(CES!$A$1,CES!$E$2+14,3)</f>
        <v>34700</v>
      </c>
      <c r="H44" s="25">
        <f ca="1">OFFSET(CES!$A$1,CES!$E$2+14,4)</f>
        <v>34500</v>
      </c>
      <c r="I44" s="25"/>
      <c r="J44" s="189">
        <f ca="1">OFFSET(CES!$A$1,CES!$E$2+14,6)</f>
        <v>0</v>
      </c>
      <c r="K44" s="245">
        <f ca="1">OFFSET(CES!$A$1,CES!$E$2+14,8)</f>
        <v>5.7999999999999996E-3</v>
      </c>
    </row>
    <row r="45" spans="1:11">
      <c r="A45" s="7"/>
      <c r="B45" s="72" t="str">
        <f>CES!B16</f>
        <v xml:space="preserve">Professional and Business Services   </v>
      </c>
      <c r="C45" s="7"/>
      <c r="D45" s="7"/>
      <c r="E45" s="25">
        <f ca="1">OFFSET(CES!$A$1,CES!$E$2+15,2)</f>
        <v>100700</v>
      </c>
      <c r="F45" s="25"/>
      <c r="G45" s="25">
        <f ca="1">OFFSET(CES!$A$1,CES!$E$2+15,3)</f>
        <v>101500</v>
      </c>
      <c r="H45" s="25">
        <f ca="1">OFFSET(CES!$A$1,CES!$E$2+15,4)</f>
        <v>98500</v>
      </c>
      <c r="I45" s="25"/>
      <c r="J45" s="189">
        <f ca="1">OFFSET(CES!$A$1,CES!$E$2+15,6)</f>
        <v>-7.9000000000000008E-3</v>
      </c>
      <c r="K45" s="245">
        <f ca="1">OFFSET(CES!$A$1,CES!$E$2+15,8)</f>
        <v>2.23E-2</v>
      </c>
    </row>
    <row r="46" spans="1:11">
      <c r="A46" s="7"/>
      <c r="B46" s="72" t="str">
        <f>CES!B17</f>
        <v>Education and Health Care</v>
      </c>
      <c r="C46" s="7"/>
      <c r="D46" s="7"/>
      <c r="E46" s="25">
        <f ca="1">OFFSET(CES!$A$1,CES!$E$2+16,2)</f>
        <v>134100</v>
      </c>
      <c r="F46" s="25"/>
      <c r="G46" s="25">
        <f ca="1">OFFSET(CES!$A$1,CES!$E$2+16,3)</f>
        <v>131200</v>
      </c>
      <c r="H46" s="25">
        <f ca="1">OFFSET(CES!$A$1,CES!$E$2+16,4)</f>
        <v>126900</v>
      </c>
      <c r="I46" s="25"/>
      <c r="J46" s="189">
        <f ca="1">OFFSET(CES!$A$1,CES!$E$2+16,6)</f>
        <v>2.2100000000000002E-2</v>
      </c>
      <c r="K46" s="245">
        <f ca="1">OFFSET(CES!$A$1,CES!$E$2+16,8)</f>
        <v>5.67E-2</v>
      </c>
    </row>
    <row r="47" spans="1:11">
      <c r="A47" s="7"/>
      <c r="B47" s="72" t="str">
        <f>CES!B18</f>
        <v xml:space="preserve">Leisure and Hospitality   </v>
      </c>
      <c r="C47" s="7"/>
      <c r="D47" s="7"/>
      <c r="E47" s="25">
        <f ca="1">OFFSET(CES!$A$1,CES!$E$2+17,2)</f>
        <v>76300</v>
      </c>
      <c r="F47" s="25"/>
      <c r="G47" s="25">
        <f ca="1">OFFSET(CES!$A$1,CES!$E$2+17,3)</f>
        <v>84400</v>
      </c>
      <c r="H47" s="25">
        <f ca="1">OFFSET(CES!$A$1,CES!$E$2+17,4)</f>
        <v>75800</v>
      </c>
      <c r="I47" s="25"/>
      <c r="J47" s="189">
        <f ca="1">OFFSET(CES!$A$1,CES!$E$2+17,6)</f>
        <v>-9.6000000000000002E-2</v>
      </c>
      <c r="K47" s="245">
        <f ca="1">OFFSET(CES!$A$1,CES!$E$2+17,8)</f>
        <v>6.6E-3</v>
      </c>
    </row>
    <row r="48" spans="1:11">
      <c r="A48" s="7"/>
      <c r="B48" s="72" t="str">
        <f>CES!B19</f>
        <v xml:space="preserve">Other Services    </v>
      </c>
      <c r="C48" s="7"/>
      <c r="D48" s="7"/>
      <c r="E48" s="25">
        <f ca="1">OFFSET(CES!$A$1,CES!$E$2+18,2)</f>
        <v>25300</v>
      </c>
      <c r="F48" s="25"/>
      <c r="G48" s="25">
        <f ca="1">OFFSET(CES!$A$1,CES!$E$2+18,3)</f>
        <v>26300</v>
      </c>
      <c r="H48" s="25">
        <f ca="1">OFFSET(CES!$A$1,CES!$E$2+18,4)</f>
        <v>24900</v>
      </c>
      <c r="I48" s="25"/>
      <c r="J48" s="189">
        <f ca="1">OFFSET(CES!$A$1,CES!$E$2+18,6)</f>
        <v>-3.7999999999999999E-2</v>
      </c>
      <c r="K48" s="245">
        <f ca="1">OFFSET(CES!$A$1,CES!$E$2+18,8)</f>
        <v>1.61E-2</v>
      </c>
    </row>
    <row r="49" spans="1:11">
      <c r="A49" s="7"/>
      <c r="B49" s="74" t="str">
        <f>CES!B20</f>
        <v xml:space="preserve">Total Government    </v>
      </c>
      <c r="C49" s="21"/>
      <c r="D49" s="21"/>
      <c r="E49" s="26">
        <f ca="1">OFFSET(CES!$A$1,CES!$E$2+19,2)</f>
        <v>91400</v>
      </c>
      <c r="F49" s="26"/>
      <c r="G49" s="26">
        <f ca="1">OFFSET(CES!$A$1,CES!$E$2+19,3)</f>
        <v>80900</v>
      </c>
      <c r="H49" s="26">
        <f ca="1">OFFSET(CES!$A$1,CES!$E$2+19,4)</f>
        <v>88400</v>
      </c>
      <c r="I49" s="26"/>
      <c r="J49" s="190">
        <f ca="1">OFFSET(CES!$A$1,CES!$E$2+19,6)</f>
        <v>0.1298</v>
      </c>
      <c r="K49" s="246">
        <f ca="1">OFFSET(CES!$A$1,CES!$E$2+19,8)</f>
        <v>3.39E-2</v>
      </c>
    </row>
    <row r="50" spans="1:11" ht="15" customHeight="1">
      <c r="A50" s="7"/>
      <c r="B50" s="23" t="s">
        <v>236</v>
      </c>
      <c r="C50" s="7"/>
      <c r="D50" s="7"/>
      <c r="E50" s="7"/>
      <c r="F50" s="7"/>
      <c r="G50" s="7"/>
      <c r="H50" s="7"/>
      <c r="I50" s="7"/>
      <c r="J50" s="7"/>
      <c r="K50" s="9" t="s">
        <v>401</v>
      </c>
    </row>
    <row r="51" spans="1:11">
      <c r="A51" s="7"/>
      <c r="B51" s="7"/>
      <c r="C51" s="7"/>
      <c r="D51" s="7"/>
      <c r="E51" s="7"/>
      <c r="F51" s="7"/>
      <c r="G51" s="7"/>
      <c r="H51" s="7"/>
      <c r="I51" s="7"/>
      <c r="J51" s="7"/>
      <c r="K51" s="7"/>
    </row>
    <row r="52" spans="1:11" ht="13.5" customHeight="1">
      <c r="A52" s="7"/>
      <c r="B52" s="373"/>
      <c r="C52" s="374"/>
      <c r="D52" s="374"/>
      <c r="E52" s="375"/>
      <c r="F52" s="7"/>
      <c r="G52" s="373"/>
      <c r="H52" s="374"/>
      <c r="I52" s="374"/>
      <c r="J52" s="374"/>
      <c r="K52" s="375"/>
    </row>
    <row r="53" spans="1:11" ht="22.5" customHeight="1">
      <c r="A53" s="7"/>
      <c r="B53" s="360" t="s">
        <v>150</v>
      </c>
      <c r="C53" s="359"/>
      <c r="D53" s="359"/>
      <c r="E53" s="17"/>
      <c r="F53" s="7"/>
      <c r="G53" s="361" t="s">
        <v>161</v>
      </c>
      <c r="H53" s="362"/>
      <c r="I53" s="27"/>
      <c r="J53" s="7"/>
      <c r="K53" s="17"/>
    </row>
    <row r="54" spans="1:11">
      <c r="A54" s="7"/>
      <c r="B54" s="16"/>
      <c r="C54" s="7"/>
      <c r="D54" s="28" t="s">
        <v>215</v>
      </c>
      <c r="E54" s="17"/>
      <c r="F54" s="7"/>
      <c r="G54" s="356" t="s">
        <v>163</v>
      </c>
      <c r="H54" s="357"/>
      <c r="I54" s="357"/>
      <c r="J54" s="357"/>
      <c r="K54" s="358"/>
    </row>
    <row r="55" spans="1:11">
      <c r="A55" s="7"/>
      <c r="B55" s="29" t="str">
        <f>CPI!A7</f>
        <v>Sep
2024</v>
      </c>
      <c r="C55" s="7"/>
      <c r="D55" s="28" t="s">
        <v>152</v>
      </c>
      <c r="E55" s="17"/>
      <c r="F55" s="7"/>
      <c r="G55" s="356" t="s">
        <v>240</v>
      </c>
      <c r="H55" s="357"/>
      <c r="I55" s="357"/>
      <c r="J55" s="357"/>
      <c r="K55" s="358"/>
    </row>
    <row r="56" spans="1:11">
      <c r="A56" s="7"/>
      <c r="B56" s="16"/>
      <c r="C56" s="7"/>
      <c r="D56" s="7"/>
      <c r="E56" s="17"/>
      <c r="F56" s="7"/>
      <c r="G56" s="16"/>
      <c r="H56" s="7"/>
      <c r="I56" s="7"/>
      <c r="J56" s="7"/>
      <c r="K56" s="17"/>
    </row>
    <row r="57" spans="1:11">
      <c r="A57" s="7"/>
      <c r="B57" s="16"/>
      <c r="C57" s="7"/>
      <c r="D57" s="7"/>
      <c r="E57" s="17"/>
      <c r="F57" s="7"/>
      <c r="G57" s="16"/>
      <c r="H57" s="7"/>
      <c r="I57" s="7"/>
      <c r="J57" s="7"/>
      <c r="K57" s="17"/>
    </row>
    <row r="58" spans="1:11">
      <c r="A58" s="7"/>
      <c r="B58" s="16"/>
      <c r="C58" s="7"/>
      <c r="D58" s="7"/>
      <c r="E58" s="17"/>
      <c r="F58" s="7"/>
      <c r="G58" s="16"/>
      <c r="H58" s="7"/>
      <c r="I58" s="7"/>
      <c r="J58" s="7"/>
      <c r="K58" s="17"/>
    </row>
    <row r="59" spans="1:11">
      <c r="A59" s="7"/>
      <c r="B59" s="16"/>
      <c r="C59" s="7"/>
      <c r="D59" s="7"/>
      <c r="E59" s="17"/>
      <c r="F59" s="7"/>
      <c r="G59" s="16"/>
      <c r="H59" s="7"/>
      <c r="I59" s="7"/>
      <c r="J59" s="7"/>
      <c r="K59" s="17"/>
    </row>
    <row r="60" spans="1:11">
      <c r="A60" s="7"/>
      <c r="B60" s="16"/>
      <c r="C60" s="7"/>
      <c r="D60" s="7"/>
      <c r="E60" s="17"/>
      <c r="F60" s="7"/>
      <c r="G60" s="16"/>
      <c r="H60" s="7"/>
      <c r="I60" s="7"/>
      <c r="J60" s="7"/>
      <c r="K60" s="17"/>
    </row>
    <row r="61" spans="1:11">
      <c r="A61" s="7"/>
      <c r="B61" s="16"/>
      <c r="C61" s="7"/>
      <c r="D61" s="7"/>
      <c r="E61" s="17"/>
      <c r="F61" s="7"/>
      <c r="G61" s="16"/>
      <c r="H61" s="7"/>
      <c r="I61" s="7"/>
      <c r="J61" s="7"/>
      <c r="K61" s="17"/>
    </row>
    <row r="62" spans="1:11">
      <c r="A62" s="7"/>
      <c r="B62" s="16"/>
      <c r="C62" s="7"/>
      <c r="D62" s="7"/>
      <c r="E62" s="17"/>
      <c r="F62" s="7"/>
      <c r="G62" s="16"/>
      <c r="H62" s="7"/>
      <c r="I62" s="7"/>
      <c r="J62" s="7"/>
      <c r="K62" s="17"/>
    </row>
    <row r="63" spans="1:11">
      <c r="A63" s="7"/>
      <c r="B63" s="16"/>
      <c r="C63" s="7"/>
      <c r="D63" s="7"/>
      <c r="E63" s="17"/>
      <c r="F63" s="7"/>
      <c r="G63" s="16"/>
      <c r="H63" s="7"/>
      <c r="I63" s="7"/>
      <c r="J63" s="7"/>
      <c r="K63" s="17"/>
    </row>
    <row r="64" spans="1:11">
      <c r="A64" s="7"/>
      <c r="B64" s="16"/>
      <c r="C64" s="7"/>
      <c r="D64" s="7"/>
      <c r="E64" s="17"/>
      <c r="F64" s="7"/>
      <c r="G64" s="16"/>
      <c r="H64" s="7"/>
      <c r="I64" s="7"/>
      <c r="J64" s="7"/>
      <c r="K64" s="17"/>
    </row>
    <row r="65" spans="1:14">
      <c r="A65" s="7"/>
      <c r="B65" s="16"/>
      <c r="C65" s="7"/>
      <c r="D65" s="7"/>
      <c r="E65" s="17"/>
      <c r="F65" s="7"/>
      <c r="G65" s="16"/>
      <c r="H65" s="7"/>
      <c r="I65" s="7"/>
      <c r="J65" s="7"/>
      <c r="K65" s="17"/>
    </row>
    <row r="66" spans="1:14">
      <c r="A66" s="7"/>
      <c r="B66" s="20" t="s">
        <v>151</v>
      </c>
      <c r="C66" s="21"/>
      <c r="D66" s="21"/>
      <c r="E66" s="119" t="s">
        <v>323</v>
      </c>
      <c r="F66" s="7"/>
      <c r="G66" s="20" t="s">
        <v>162</v>
      </c>
      <c r="H66" s="21"/>
      <c r="I66" s="21"/>
      <c r="J66" s="21"/>
      <c r="K66" s="119" t="s">
        <v>403</v>
      </c>
    </row>
    <row r="67" spans="1:14" ht="22.5" customHeight="1">
      <c r="A67" s="7"/>
      <c r="B67" s="31" t="s">
        <v>241</v>
      </c>
      <c r="C67" s="24"/>
      <c r="D67" s="24"/>
      <c r="E67" s="24"/>
      <c r="F67" s="7"/>
      <c r="G67" s="24"/>
      <c r="H67" s="24"/>
      <c r="I67" s="24"/>
      <c r="J67" s="32" t="s">
        <v>120</v>
      </c>
      <c r="K67" s="33">
        <f ca="1">TODAY()</f>
        <v>45595</v>
      </c>
    </row>
    <row r="68" spans="1:14" ht="12.75" customHeight="1">
      <c r="A68" s="7"/>
      <c r="B68" s="8"/>
      <c r="C68" s="7"/>
      <c r="D68" s="7"/>
      <c r="E68" s="7"/>
      <c r="F68" s="7"/>
      <c r="G68" s="7"/>
      <c r="H68" s="7"/>
      <c r="I68" s="7"/>
      <c r="J68" s="9"/>
      <c r="K68" s="34"/>
    </row>
    <row r="69" spans="1:14" ht="13.5" customHeight="1">
      <c r="A69" s="7"/>
      <c r="B69" s="372"/>
      <c r="C69" s="372"/>
      <c r="D69" s="372"/>
      <c r="E69" s="372"/>
      <c r="F69" s="372"/>
      <c r="G69" s="372"/>
      <c r="H69" s="372"/>
      <c r="I69" s="372"/>
      <c r="J69" s="372"/>
      <c r="K69" s="372"/>
    </row>
    <row r="70" spans="1:14" ht="22.5" customHeight="1">
      <c r="A70" s="7"/>
      <c r="B70" s="359" t="s">
        <v>321</v>
      </c>
      <c r="C70" s="359"/>
      <c r="D70" s="359"/>
      <c r="E70" s="359"/>
      <c r="F70" s="359"/>
      <c r="G70" s="359"/>
      <c r="H70" s="290"/>
      <c r="I70" s="289"/>
      <c r="J70" s="289"/>
      <c r="K70" s="7"/>
    </row>
    <row r="71" spans="1:14">
      <c r="A71" s="7"/>
      <c r="B71" s="255" t="s">
        <v>62</v>
      </c>
      <c r="C71" s="265" t="s">
        <v>146</v>
      </c>
      <c r="D71" s="272" t="s">
        <v>147</v>
      </c>
      <c r="E71" s="35"/>
      <c r="F71" s="35"/>
      <c r="G71" s="7"/>
      <c r="H71" s="7"/>
      <c r="I71" s="7"/>
      <c r="J71" s="35"/>
      <c r="K71" s="35"/>
    </row>
    <row r="72" spans="1:14">
      <c r="A72" s="7"/>
      <c r="B72" s="260"/>
      <c r="C72" s="261" t="s">
        <v>149</v>
      </c>
      <c r="D72" s="270" t="s">
        <v>148</v>
      </c>
      <c r="E72" s="7"/>
      <c r="F72" s="7"/>
      <c r="G72" s="7"/>
      <c r="H72" s="7"/>
      <c r="I72" s="7"/>
      <c r="J72" s="7"/>
      <c r="K72" s="7"/>
      <c r="N72" s="7" t="s">
        <v>304</v>
      </c>
    </row>
    <row r="73" spans="1:14">
      <c r="A73" s="7"/>
      <c r="B73" s="36">
        <f>Claims!A8</f>
        <v>45170</v>
      </c>
      <c r="C73" s="25">
        <f>Claims!B8</f>
        <v>1429</v>
      </c>
      <c r="D73" s="37">
        <f>Claims!C8</f>
        <v>9899</v>
      </c>
      <c r="E73" s="7"/>
      <c r="F73" s="7"/>
      <c r="G73" s="7"/>
      <c r="H73" s="7"/>
      <c r="I73" s="7"/>
      <c r="J73" s="7"/>
      <c r="K73" s="7"/>
    </row>
    <row r="74" spans="1:14" ht="12.75" customHeight="1">
      <c r="A74" s="7"/>
      <c r="B74" s="273">
        <f>Claims!A9</f>
        <v>45200</v>
      </c>
      <c r="C74" s="274">
        <f>Claims!B9</f>
        <v>1605</v>
      </c>
      <c r="D74" s="275">
        <f>Claims!C9</f>
        <v>11277</v>
      </c>
      <c r="E74" s="7"/>
      <c r="F74" s="7"/>
      <c r="G74" s="7"/>
      <c r="H74" s="7"/>
      <c r="I74" s="7"/>
      <c r="J74" s="7"/>
      <c r="K74" s="7"/>
    </row>
    <row r="75" spans="1:14" ht="12.75" customHeight="1">
      <c r="A75" s="7"/>
      <c r="B75" s="36">
        <f>Claims!A10</f>
        <v>45231</v>
      </c>
      <c r="C75" s="25">
        <f>Claims!B10</f>
        <v>1853</v>
      </c>
      <c r="D75" s="37">
        <f>Claims!C10</f>
        <v>11150</v>
      </c>
      <c r="E75" s="7"/>
      <c r="F75" s="7"/>
      <c r="G75" s="7"/>
      <c r="H75" s="7"/>
      <c r="I75" s="7"/>
      <c r="J75" s="7"/>
      <c r="K75" s="7"/>
    </row>
    <row r="76" spans="1:14" ht="12.75" customHeight="1">
      <c r="A76" s="7"/>
      <c r="B76" s="273">
        <f>Claims!A11</f>
        <v>45261</v>
      </c>
      <c r="C76" s="274">
        <f>Claims!B11</f>
        <v>2505</v>
      </c>
      <c r="D76" s="275">
        <f>Claims!C11</f>
        <v>12049</v>
      </c>
      <c r="E76" s="7"/>
      <c r="F76" s="7"/>
      <c r="G76" s="7"/>
      <c r="H76" s="7"/>
      <c r="I76" s="7"/>
      <c r="J76" s="7"/>
      <c r="K76" s="7"/>
    </row>
    <row r="77" spans="1:14" ht="12.75" customHeight="1">
      <c r="A77" s="7"/>
      <c r="B77" s="36">
        <f>Claims!A12</f>
        <v>45292</v>
      </c>
      <c r="C77" s="25">
        <f>Claims!B12</f>
        <v>2471</v>
      </c>
      <c r="D77" s="37">
        <f>Claims!C12</f>
        <v>15796</v>
      </c>
      <c r="E77" s="7"/>
      <c r="F77" s="7"/>
      <c r="G77" s="7"/>
      <c r="H77" s="7"/>
      <c r="I77" s="7"/>
      <c r="J77" s="7"/>
      <c r="K77" s="7"/>
    </row>
    <row r="78" spans="1:14" ht="12.75" customHeight="1">
      <c r="A78" s="7"/>
      <c r="B78" s="273">
        <f>Claims!A13</f>
        <v>45323</v>
      </c>
      <c r="C78" s="274">
        <f>Claims!B13</f>
        <v>2398</v>
      </c>
      <c r="D78" s="275">
        <f>Claims!C13</f>
        <v>14798</v>
      </c>
      <c r="E78" s="7"/>
      <c r="F78" s="7"/>
      <c r="G78" s="7"/>
      <c r="H78" s="7"/>
      <c r="I78" s="7"/>
      <c r="J78" s="7"/>
      <c r="K78" s="7"/>
    </row>
    <row r="79" spans="1:14" ht="12.75" customHeight="1">
      <c r="A79" s="7"/>
      <c r="B79" s="36">
        <f>Claims!A14</f>
        <v>45352</v>
      </c>
      <c r="C79" s="25">
        <f>Claims!B14</f>
        <v>1906</v>
      </c>
      <c r="D79" s="37">
        <f>Claims!C14</f>
        <v>15218</v>
      </c>
      <c r="E79" s="7"/>
      <c r="F79" s="7"/>
      <c r="G79" s="7"/>
      <c r="H79" s="7"/>
      <c r="I79" s="7"/>
      <c r="J79" s="7"/>
      <c r="K79" s="7"/>
    </row>
    <row r="80" spans="1:14" ht="12.75" customHeight="1">
      <c r="A80" s="7"/>
      <c r="B80" s="273">
        <f>Claims!A15</f>
        <v>45383</v>
      </c>
      <c r="C80" s="274">
        <f>Claims!B15</f>
        <v>2188</v>
      </c>
      <c r="D80" s="275">
        <f>Claims!C15</f>
        <v>14347</v>
      </c>
      <c r="E80" s="7"/>
      <c r="F80" s="7"/>
      <c r="G80" s="7"/>
      <c r="H80" s="7"/>
      <c r="I80" s="7"/>
      <c r="J80" s="7"/>
      <c r="K80" s="7"/>
    </row>
    <row r="81" spans="1:24" ht="12.75" customHeight="1">
      <c r="A81" s="7"/>
      <c r="B81" s="36">
        <f>Claims!A16</f>
        <v>45413</v>
      </c>
      <c r="C81" s="25">
        <f>Claims!B16</f>
        <v>1572</v>
      </c>
      <c r="D81" s="37">
        <f>Claims!C16</f>
        <v>12061</v>
      </c>
      <c r="E81" s="7"/>
      <c r="F81" s="7"/>
      <c r="G81" s="7"/>
      <c r="H81" s="7"/>
      <c r="I81" s="7"/>
      <c r="J81" s="7"/>
      <c r="K81" s="7"/>
    </row>
    <row r="82" spans="1:24" ht="12.75" customHeight="1">
      <c r="A82" s="7"/>
      <c r="B82" s="273">
        <f>Claims!A17</f>
        <v>45444</v>
      </c>
      <c r="C82" s="274">
        <f>Claims!B17</f>
        <v>2133</v>
      </c>
      <c r="D82" s="275">
        <f>Claims!C17</f>
        <v>11606</v>
      </c>
      <c r="E82" s="7"/>
      <c r="F82" s="7"/>
      <c r="G82" s="7"/>
      <c r="H82" s="7"/>
      <c r="I82" s="7"/>
      <c r="J82" s="7"/>
      <c r="K82" s="7"/>
    </row>
    <row r="83" spans="1:24" ht="12.75" customHeight="1">
      <c r="A83" s="7"/>
      <c r="B83" s="36">
        <f>Claims!A18</f>
        <v>45474</v>
      </c>
      <c r="C83" s="25">
        <f>Claims!B18</f>
        <v>1445</v>
      </c>
      <c r="D83" s="37">
        <f>Claims!C18</f>
        <v>14786</v>
      </c>
      <c r="E83" s="7"/>
      <c r="F83" s="7"/>
      <c r="G83" s="7"/>
      <c r="H83" s="7"/>
      <c r="I83" s="7"/>
      <c r="J83" s="7"/>
      <c r="K83" s="7"/>
    </row>
    <row r="84" spans="1:24" ht="12.75" customHeight="1">
      <c r="A84" s="7"/>
      <c r="B84" s="273">
        <f>Claims!A19</f>
        <v>45505</v>
      </c>
      <c r="C84" s="274">
        <f>Claims!B19</f>
        <v>1965</v>
      </c>
      <c r="D84" s="275">
        <f>Claims!C19</f>
        <v>14861</v>
      </c>
      <c r="E84" s="7"/>
      <c r="F84" s="7"/>
      <c r="G84" s="7"/>
      <c r="H84" s="7"/>
      <c r="I84" s="7"/>
      <c r="J84" s="7"/>
      <c r="K84" s="7"/>
    </row>
    <row r="85" spans="1:24" ht="12.75" customHeight="1">
      <c r="A85" s="7"/>
      <c r="B85" s="38">
        <f>Claims!A20</f>
        <v>45536</v>
      </c>
      <c r="C85" s="26">
        <f>Claims!B20</f>
        <v>1454</v>
      </c>
      <c r="D85" s="39">
        <f>Claims!C20</f>
        <v>13068</v>
      </c>
      <c r="E85" s="7"/>
      <c r="F85" s="7"/>
      <c r="G85" s="7"/>
      <c r="H85" s="7"/>
      <c r="I85" s="7"/>
      <c r="J85" s="7"/>
      <c r="K85" s="7"/>
    </row>
    <row r="86" spans="1:24" ht="15" customHeight="1">
      <c r="A86" s="7"/>
      <c r="B86" s="7" t="s">
        <v>226</v>
      </c>
      <c r="C86" s="25"/>
      <c r="D86" s="25"/>
      <c r="E86" s="7"/>
      <c r="F86" s="7"/>
      <c r="G86" s="7"/>
      <c r="H86" s="7"/>
      <c r="I86" s="7"/>
      <c r="J86" s="7"/>
      <c r="K86" s="9" t="s">
        <v>404</v>
      </c>
    </row>
    <row r="87" spans="1:24" s="4" customFormat="1" ht="12.75" customHeight="1">
      <c r="A87" s="40"/>
      <c r="B87" s="7"/>
      <c r="C87" s="7"/>
      <c r="D87" s="7"/>
      <c r="E87" s="7"/>
      <c r="F87" s="7"/>
      <c r="G87" s="7"/>
      <c r="H87" s="7"/>
      <c r="I87" s="7"/>
      <c r="J87" s="7"/>
      <c r="K87" s="7"/>
      <c r="L87" s="40"/>
      <c r="M87" s="40"/>
      <c r="N87" s="40"/>
      <c r="O87" s="40"/>
      <c r="P87" s="40"/>
      <c r="Q87" s="40"/>
    </row>
    <row r="88" spans="1:24" s="5" customFormat="1" ht="13.5" customHeight="1">
      <c r="A88" s="41"/>
      <c r="B88" s="372"/>
      <c r="C88" s="372"/>
      <c r="D88" s="372"/>
      <c r="E88" s="372"/>
      <c r="F88" s="372"/>
      <c r="G88" s="372"/>
      <c r="H88" s="372"/>
      <c r="I88" s="372"/>
      <c r="J88" s="372"/>
      <c r="K88" s="372"/>
      <c r="L88" s="41"/>
      <c r="M88" s="41"/>
      <c r="N88" s="41"/>
      <c r="O88" s="41"/>
      <c r="P88" s="41"/>
      <c r="Q88" s="41"/>
    </row>
    <row r="89" spans="1:24" ht="22.5" customHeight="1">
      <c r="A89" s="7"/>
      <c r="B89" s="359" t="s">
        <v>216</v>
      </c>
      <c r="C89" s="359"/>
      <c r="D89" s="359"/>
      <c r="E89" s="359"/>
      <c r="F89" s="41"/>
      <c r="G89" s="354" t="str">
        <f ca="1">Duration!L34</f>
        <v>Median Duration of Unemployment (in weeks)</v>
      </c>
      <c r="H89" s="354"/>
      <c r="I89" s="354"/>
      <c r="J89" s="354"/>
      <c r="K89" s="354"/>
      <c r="X89" s="250"/>
    </row>
    <row r="90" spans="1:24" ht="12.75" customHeight="1">
      <c r="A90" s="7"/>
      <c r="B90" s="276"/>
      <c r="C90" s="277" t="s">
        <v>197</v>
      </c>
      <c r="D90" s="265" t="s">
        <v>199</v>
      </c>
      <c r="E90" s="278" t="s">
        <v>200</v>
      </c>
      <c r="F90" s="7"/>
      <c r="G90" s="354" t="str">
        <f ca="1">Duration!L33</f>
        <v>Both Sexes, All Races</v>
      </c>
      <c r="H90" s="354"/>
      <c r="I90" s="354"/>
      <c r="J90" s="354"/>
      <c r="K90" s="354"/>
      <c r="M90" s="369" t="s">
        <v>210</v>
      </c>
      <c r="N90" s="370"/>
      <c r="O90" s="370"/>
      <c r="P90" s="371"/>
    </row>
    <row r="91" spans="1:24" ht="12.75" customHeight="1">
      <c r="A91" s="7"/>
      <c r="B91" s="279" t="str">
        <f>Duration!A91</f>
        <v>2024 Q3</v>
      </c>
      <c r="C91" s="280" t="s">
        <v>198</v>
      </c>
      <c r="D91" s="261" t="s">
        <v>198</v>
      </c>
      <c r="E91" s="281" t="s">
        <v>209</v>
      </c>
      <c r="F91" s="9"/>
      <c r="G91" s="7"/>
      <c r="H91" s="7"/>
      <c r="I91" s="7"/>
      <c r="J91" s="7"/>
      <c r="K91" s="7"/>
    </row>
    <row r="92" spans="1:24" ht="12.75" customHeight="1">
      <c r="A92" s="7"/>
      <c r="B92" s="42" t="s">
        <v>201</v>
      </c>
      <c r="C92" s="43"/>
      <c r="D92" s="43"/>
      <c r="E92" s="44"/>
      <c r="F92" s="45"/>
      <c r="G92" s="7"/>
      <c r="H92" s="7"/>
      <c r="I92" s="7"/>
      <c r="J92" s="7"/>
      <c r="K92" s="7"/>
    </row>
    <row r="93" spans="1:24" ht="12.75" customHeight="1">
      <c r="A93" s="7"/>
      <c r="B93" s="46" t="s">
        <v>202</v>
      </c>
      <c r="C93" s="47">
        <f>Duration!B95</f>
        <v>10.1</v>
      </c>
      <c r="D93" s="47">
        <f>Duration!B96</f>
        <v>6.8</v>
      </c>
      <c r="E93" s="48">
        <f>Duration!B92</f>
        <v>8</v>
      </c>
      <c r="F93" s="45"/>
      <c r="G93" s="7"/>
      <c r="H93" s="7"/>
      <c r="I93" s="7"/>
      <c r="J93" s="7"/>
      <c r="K93" s="7"/>
      <c r="M93" s="369" t="s">
        <v>211</v>
      </c>
      <c r="N93" s="370"/>
      <c r="O93" s="370"/>
      <c r="P93" s="371"/>
    </row>
    <row r="94" spans="1:24" ht="12.75" customHeight="1">
      <c r="A94" s="7"/>
      <c r="B94" s="46" t="s">
        <v>203</v>
      </c>
      <c r="C94" s="47">
        <f>Duration!C95</f>
        <v>19</v>
      </c>
      <c r="D94" s="47">
        <f>Duration!C96</f>
        <v>10</v>
      </c>
      <c r="E94" s="48">
        <f>Duration!C92</f>
        <v>14.1</v>
      </c>
      <c r="F94" s="45"/>
      <c r="G94" s="7"/>
      <c r="H94" s="7"/>
      <c r="I94" s="7"/>
      <c r="J94" s="7"/>
      <c r="K94" s="7"/>
    </row>
    <row r="95" spans="1:24" ht="12.75" customHeight="1">
      <c r="A95" s="7"/>
      <c r="B95" s="49" t="s">
        <v>217</v>
      </c>
      <c r="C95" s="50"/>
      <c r="D95" s="50"/>
      <c r="E95" s="51"/>
      <c r="F95" s="7"/>
      <c r="G95" s="7"/>
      <c r="H95" s="7"/>
      <c r="I95" s="7"/>
      <c r="J95" s="7"/>
      <c r="K95" s="7"/>
    </row>
    <row r="96" spans="1:24" ht="12.75" customHeight="1">
      <c r="A96" s="7"/>
      <c r="B96" s="46" t="s">
        <v>204</v>
      </c>
      <c r="C96" s="14">
        <f>Duration!D95*1000</f>
        <v>3000</v>
      </c>
      <c r="D96" s="14">
        <f>Duration!D96*1000</f>
        <v>6000</v>
      </c>
      <c r="E96" s="52">
        <f>Duration!D92*1000</f>
        <v>10000</v>
      </c>
      <c r="F96" s="7"/>
      <c r="G96" s="7"/>
      <c r="H96" s="7"/>
      <c r="I96" s="7"/>
      <c r="J96" s="7"/>
      <c r="K96" s="7"/>
    </row>
    <row r="97" spans="1:18" ht="12.75" customHeight="1">
      <c r="A97" s="7"/>
      <c r="B97" s="53" t="s">
        <v>205</v>
      </c>
      <c r="C97" s="14">
        <f>Duration!E95*1000</f>
        <v>4000</v>
      </c>
      <c r="D97" s="14">
        <f>Duration!E96*1000</f>
        <v>6000</v>
      </c>
      <c r="E97" s="52">
        <f>Duration!E92*1000</f>
        <v>10000</v>
      </c>
      <c r="F97" s="7"/>
      <c r="G97" s="7"/>
      <c r="H97" s="7"/>
      <c r="I97" s="7"/>
      <c r="J97" s="7"/>
      <c r="K97" s="7"/>
    </row>
    <row r="98" spans="1:18" ht="12.75" customHeight="1">
      <c r="A98" s="7"/>
      <c r="B98" s="46" t="s">
        <v>206</v>
      </c>
      <c r="C98" s="14">
        <f>Duration!F95*1000</f>
        <v>2000</v>
      </c>
      <c r="D98" s="14">
        <f>Duration!F96*1000</f>
        <v>2000</v>
      </c>
      <c r="E98" s="52">
        <f>Duration!F92*1000</f>
        <v>4000</v>
      </c>
      <c r="F98" s="7"/>
      <c r="G98" s="7"/>
      <c r="H98" s="7"/>
      <c r="I98" s="7"/>
      <c r="J98" s="7"/>
      <c r="K98" s="7"/>
    </row>
    <row r="99" spans="1:18" ht="12.75" customHeight="1">
      <c r="A99" s="7"/>
      <c r="B99" s="46" t="s">
        <v>207</v>
      </c>
      <c r="C99" s="14">
        <f>Duration!G95*1000</f>
        <v>2000</v>
      </c>
      <c r="D99" s="14">
        <f>Duration!G96*1000</f>
        <v>0</v>
      </c>
      <c r="E99" s="52">
        <f>Duration!G92*1000</f>
        <v>2000</v>
      </c>
      <c r="F99" s="7"/>
      <c r="G99" s="7"/>
      <c r="H99" s="7"/>
      <c r="I99" s="7"/>
      <c r="J99" s="7"/>
      <c r="K99" s="7"/>
    </row>
    <row r="100" spans="1:18" ht="12.75" customHeight="1">
      <c r="A100" s="7"/>
      <c r="B100" s="30" t="s">
        <v>208</v>
      </c>
      <c r="C100" s="19">
        <f>Duration!H95*1000</f>
        <v>1000</v>
      </c>
      <c r="D100" s="19">
        <f>Duration!H96*1000</f>
        <v>0</v>
      </c>
      <c r="E100" s="54">
        <f>Duration!H92*1000</f>
        <v>1000</v>
      </c>
      <c r="F100" s="7"/>
      <c r="G100" s="7"/>
      <c r="H100" s="7"/>
      <c r="I100" s="7"/>
      <c r="J100" s="7"/>
      <c r="K100" s="7"/>
    </row>
    <row r="101" spans="1:18" ht="15" customHeight="1">
      <c r="A101" s="7"/>
      <c r="B101" s="7" t="s">
        <v>227</v>
      </c>
      <c r="C101" s="7"/>
      <c r="D101" s="7"/>
      <c r="E101" s="7"/>
      <c r="F101" s="7"/>
      <c r="G101" s="7"/>
      <c r="H101" s="7"/>
      <c r="I101" s="7"/>
      <c r="J101" s="7"/>
      <c r="K101" s="9" t="s">
        <v>405</v>
      </c>
    </row>
    <row r="102" spans="1:18">
      <c r="A102" s="7"/>
      <c r="B102" s="7"/>
      <c r="C102" s="7"/>
      <c r="D102" s="7"/>
      <c r="E102" s="7"/>
      <c r="F102" s="7"/>
      <c r="G102" s="7"/>
      <c r="H102" s="7"/>
      <c r="I102" s="7"/>
      <c r="J102" s="7"/>
      <c r="K102" s="7"/>
    </row>
    <row r="103" spans="1:18" ht="13.5" customHeight="1">
      <c r="A103" s="7"/>
      <c r="B103" s="372"/>
      <c r="C103" s="372"/>
      <c r="D103" s="372"/>
      <c r="E103" s="372"/>
      <c r="F103" s="372"/>
      <c r="G103" s="372"/>
      <c r="H103" s="372"/>
      <c r="I103" s="372"/>
      <c r="J103" s="372"/>
      <c r="K103" s="372"/>
    </row>
    <row r="104" spans="1:18" ht="22.5" customHeight="1">
      <c r="A104" s="7"/>
      <c r="B104" s="355" t="s">
        <v>218</v>
      </c>
      <c r="C104" s="355"/>
      <c r="D104" s="355"/>
      <c r="E104" s="355"/>
      <c r="F104" s="355"/>
      <c r="G104" s="355"/>
      <c r="H104" s="355"/>
      <c r="I104" s="80"/>
      <c r="J104" s="80"/>
      <c r="K104" s="7"/>
    </row>
    <row r="105" spans="1:18" ht="14.25" customHeight="1">
      <c r="A105" s="7"/>
      <c r="B105" s="276" t="str">
        <f ca="1">OFFSET(QCEW!A2,0,QCEW!$E$38)</f>
        <v>Belknap County</v>
      </c>
      <c r="C105" s="282"/>
      <c r="D105" s="256"/>
      <c r="E105" s="283" t="s">
        <v>63</v>
      </c>
      <c r="F105" s="284"/>
      <c r="G105" s="283" t="s">
        <v>67</v>
      </c>
      <c r="H105" s="285" t="s">
        <v>65</v>
      </c>
      <c r="I105" s="346" t="str">
        <f>QCEW!A39</f>
        <v>2023 Q1 to 2024 Q1 Percent Change in Employment</v>
      </c>
      <c r="J105" s="347"/>
      <c r="K105" s="348"/>
      <c r="M105" s="369" t="s">
        <v>81</v>
      </c>
      <c r="N105" s="370"/>
      <c r="O105" s="370"/>
      <c r="P105" s="371"/>
      <c r="Q105" s="79"/>
      <c r="R105" s="6"/>
    </row>
    <row r="106" spans="1:18">
      <c r="A106" s="7"/>
      <c r="B106" s="279" t="str">
        <f>QCEW!A1</f>
        <v>2024 Q1</v>
      </c>
      <c r="C106" s="286"/>
      <c r="D106" s="267"/>
      <c r="E106" s="287" t="s">
        <v>49</v>
      </c>
      <c r="F106" s="288"/>
      <c r="G106" s="287" t="s">
        <v>64</v>
      </c>
      <c r="H106" s="281" t="s">
        <v>66</v>
      </c>
      <c r="I106" s="349"/>
      <c r="J106" s="350"/>
      <c r="K106" s="351"/>
    </row>
    <row r="107" spans="1:18">
      <c r="A107" s="7"/>
      <c r="B107" s="55" t="s">
        <v>42</v>
      </c>
      <c r="C107" s="56"/>
      <c r="D107" s="7"/>
      <c r="E107" s="57">
        <f ca="1">OFFSET(QCEW!A3,0,QCEW!$E$38)</f>
        <v>1964</v>
      </c>
      <c r="F107" s="58"/>
      <c r="G107" s="59">
        <f ca="1">OFFSET(QCEW!M3,0,QCEW!$E$38)</f>
        <v>24925</v>
      </c>
      <c r="H107" s="60">
        <f ca="1">OFFSET(QCEW!Y3,0,QCEW!$E$38)</f>
        <v>1053</v>
      </c>
      <c r="I107" s="61"/>
      <c r="J107" s="7"/>
      <c r="K107" s="17"/>
    </row>
    <row r="108" spans="1:18">
      <c r="A108" s="7"/>
      <c r="B108" s="62" t="s">
        <v>153</v>
      </c>
      <c r="C108" s="63"/>
      <c r="D108" s="7"/>
      <c r="E108" s="59">
        <f ca="1">OFFSET(QCEW!A4,0,QCEW!$E$38)</f>
        <v>1859</v>
      </c>
      <c r="F108" s="58"/>
      <c r="G108" s="59">
        <f ca="1">OFFSET(QCEW!M4,0,QCEW!$E$38)</f>
        <v>20514</v>
      </c>
      <c r="H108" s="60">
        <f ca="1">OFFSET(QCEW!Y4,0,QCEW!$E$38)</f>
        <v>1074</v>
      </c>
      <c r="I108" s="61"/>
      <c r="J108" s="7"/>
      <c r="K108" s="17"/>
    </row>
    <row r="109" spans="1:18">
      <c r="A109" s="7"/>
      <c r="B109" s="64" t="s">
        <v>20</v>
      </c>
      <c r="C109" s="65"/>
      <c r="D109" s="7"/>
      <c r="E109" s="59">
        <f ca="1">OFFSET(QCEW!A5,0,QCEW!$E$38)</f>
        <v>341</v>
      </c>
      <c r="F109" s="58"/>
      <c r="G109" s="59">
        <f ca="1">OFFSET(QCEW!M5,0,QCEW!$E$38)</f>
        <v>3572</v>
      </c>
      <c r="H109" s="60">
        <f ca="1">OFFSET(QCEW!Y5,0,QCEW!$E$38)</f>
        <v>1368</v>
      </c>
      <c r="I109" s="61"/>
      <c r="J109" s="7"/>
      <c r="K109" s="17"/>
    </row>
    <row r="110" spans="1:18">
      <c r="A110" s="7"/>
      <c r="B110" s="66" t="s">
        <v>166</v>
      </c>
      <c r="C110" s="67"/>
      <c r="D110" s="7"/>
      <c r="E110" s="68" t="str">
        <f ca="1">OFFSET(QCEW!A6,0,QCEW!$E$38)</f>
        <v>n</v>
      </c>
      <c r="F110" s="7"/>
      <c r="G110" s="68" t="str">
        <f ca="1">OFFSET(QCEW!M6,0,QCEW!$E$38)</f>
        <v>n</v>
      </c>
      <c r="H110" s="69" t="str">
        <f ca="1">OFFSET(QCEW!Y6,0,QCEW!$E$38)</f>
        <v>n</v>
      </c>
      <c r="I110" s="70"/>
      <c r="J110" s="7"/>
      <c r="K110" s="17"/>
    </row>
    <row r="111" spans="1:18">
      <c r="A111" s="7"/>
      <c r="B111" s="66" t="s">
        <v>22</v>
      </c>
      <c r="C111" s="67"/>
      <c r="D111" s="7"/>
      <c r="E111" s="68" t="str">
        <f ca="1">OFFSET(QCEW!A7,0,QCEW!$E$38)</f>
        <v>n</v>
      </c>
      <c r="F111" s="7"/>
      <c r="G111" s="68" t="str">
        <f ca="1">OFFSET(QCEW!M7,0,QCEW!$E$38)</f>
        <v>n</v>
      </c>
      <c r="H111" s="69" t="str">
        <f ca="1">OFFSET(QCEW!Y7,0,QCEW!$E$38)</f>
        <v>n</v>
      </c>
      <c r="I111" s="70"/>
      <c r="J111" s="7"/>
      <c r="K111" s="17"/>
    </row>
    <row r="112" spans="1:18">
      <c r="A112" s="7"/>
      <c r="B112" s="66" t="s">
        <v>23</v>
      </c>
      <c r="C112" s="67"/>
      <c r="D112" s="7"/>
      <c r="E112" s="68">
        <f ca="1">OFFSET(QCEW!A8,0,QCEW!$E$38)</f>
        <v>252</v>
      </c>
      <c r="F112" s="7"/>
      <c r="G112" s="68">
        <f ca="1">OFFSET(QCEW!M8,0,QCEW!$E$38)</f>
        <v>1397</v>
      </c>
      <c r="H112" s="69">
        <f ca="1">OFFSET(QCEW!Y8,0,QCEW!$E$38)</f>
        <v>1500</v>
      </c>
      <c r="I112" s="70"/>
      <c r="J112" s="7"/>
      <c r="K112" s="17"/>
    </row>
    <row r="113" spans="1:11">
      <c r="A113" s="7"/>
      <c r="B113" s="66" t="s">
        <v>24</v>
      </c>
      <c r="C113" s="67"/>
      <c r="D113" s="7"/>
      <c r="E113" s="68">
        <f ca="1">OFFSET(QCEW!A9,0,QCEW!$E$38)</f>
        <v>74</v>
      </c>
      <c r="F113" s="7"/>
      <c r="G113" s="68">
        <f ca="1">OFFSET(QCEW!M9,0,QCEW!$E$38)</f>
        <v>2066</v>
      </c>
      <c r="H113" s="69">
        <f ca="1">OFFSET(QCEW!Y9,0,QCEW!$E$38)</f>
        <v>1284</v>
      </c>
      <c r="I113" s="70"/>
      <c r="J113" s="7"/>
      <c r="K113" s="17"/>
    </row>
    <row r="114" spans="1:11">
      <c r="A114" s="7"/>
      <c r="B114" s="64" t="s">
        <v>25</v>
      </c>
      <c r="C114" s="65"/>
      <c r="D114" s="7"/>
      <c r="E114" s="59">
        <f ca="1">OFFSET(QCEW!A10,0,QCEW!$E$38)</f>
        <v>1518</v>
      </c>
      <c r="F114" s="58"/>
      <c r="G114" s="59">
        <f ca="1">OFFSET(QCEW!M10,0,QCEW!$E$38)</f>
        <v>16942</v>
      </c>
      <c r="H114" s="60">
        <f ca="1">OFFSET(QCEW!Y10,0,QCEW!$E$38)</f>
        <v>1012</v>
      </c>
      <c r="I114" s="61"/>
      <c r="J114" s="7"/>
      <c r="K114" s="17"/>
    </row>
    <row r="115" spans="1:11">
      <c r="A115" s="7"/>
      <c r="B115" s="66" t="s">
        <v>26</v>
      </c>
      <c r="C115" s="67"/>
      <c r="D115" s="7"/>
      <c r="E115" s="68">
        <f ca="1">OFFSET(QCEW!A11,0,QCEW!$E$38)</f>
        <v>7</v>
      </c>
      <c r="F115" s="7"/>
      <c r="G115" s="68">
        <f ca="1">OFFSET(QCEW!M11,0,QCEW!$E$38)</f>
        <v>190</v>
      </c>
      <c r="H115" s="69">
        <f ca="1">OFFSET(QCEW!Y11,0,QCEW!$E$38)</f>
        <v>1937</v>
      </c>
      <c r="I115" s="70"/>
      <c r="J115" s="7"/>
      <c r="K115" s="17"/>
    </row>
    <row r="116" spans="1:11">
      <c r="A116" s="7"/>
      <c r="B116" s="66" t="s">
        <v>27</v>
      </c>
      <c r="C116" s="67"/>
      <c r="D116" s="7"/>
      <c r="E116" s="68">
        <f ca="1">OFFSET(QCEW!A12,0,QCEW!$E$38)</f>
        <v>77</v>
      </c>
      <c r="F116" s="7"/>
      <c r="G116" s="68">
        <f ca="1">OFFSET(QCEW!M12,0,QCEW!$E$38)</f>
        <v>506</v>
      </c>
      <c r="H116" s="69">
        <f ca="1">OFFSET(QCEW!Y12,0,QCEW!$E$38)</f>
        <v>1839</v>
      </c>
      <c r="I116" s="70"/>
      <c r="J116" s="7"/>
      <c r="K116" s="17"/>
    </row>
    <row r="117" spans="1:11">
      <c r="A117" s="7"/>
      <c r="B117" s="66" t="s">
        <v>28</v>
      </c>
      <c r="C117" s="67"/>
      <c r="D117" s="7"/>
      <c r="E117" s="68">
        <f ca="1">OFFSET(QCEW!A13,0,QCEW!$E$38)</f>
        <v>300</v>
      </c>
      <c r="F117" s="7"/>
      <c r="G117" s="68">
        <f ca="1">OFFSET(QCEW!M13,0,QCEW!$E$38)</f>
        <v>4896</v>
      </c>
      <c r="H117" s="69">
        <f ca="1">OFFSET(QCEW!Y13,0,QCEW!$E$38)</f>
        <v>803</v>
      </c>
      <c r="I117" s="70"/>
      <c r="J117" s="7"/>
      <c r="K117" s="17"/>
    </row>
    <row r="118" spans="1:11">
      <c r="A118" s="7"/>
      <c r="B118" s="66" t="s">
        <v>29</v>
      </c>
      <c r="C118" s="67"/>
      <c r="D118" s="7"/>
      <c r="E118" s="68">
        <f ca="1">OFFSET(QCEW!A14,0,QCEW!$E$38)</f>
        <v>35</v>
      </c>
      <c r="F118" s="7"/>
      <c r="G118" s="68">
        <f ca="1">OFFSET(QCEW!M14,0,QCEW!$E$38)</f>
        <v>365</v>
      </c>
      <c r="H118" s="69">
        <f ca="1">OFFSET(QCEW!Y14,0,QCEW!$E$38)</f>
        <v>866</v>
      </c>
      <c r="I118" s="71"/>
      <c r="J118" s="21"/>
      <c r="K118" s="22"/>
    </row>
    <row r="119" spans="1:11">
      <c r="A119" s="7"/>
      <c r="B119" s="66" t="s">
        <v>30</v>
      </c>
      <c r="C119" s="67"/>
      <c r="D119" s="7"/>
      <c r="E119" s="68">
        <f ca="1">OFFSET(QCEW!A15,0,QCEW!$E$38)</f>
        <v>25</v>
      </c>
      <c r="F119" s="7"/>
      <c r="G119" s="68">
        <f ca="1">OFFSET(QCEW!M15,0,QCEW!$E$38)</f>
        <v>224</v>
      </c>
      <c r="H119" s="69">
        <f ca="1">OFFSET(QCEW!Y15,0,QCEW!$E$38)</f>
        <v>1052</v>
      </c>
      <c r="I119" s="70"/>
      <c r="J119" s="7"/>
      <c r="K119" s="7"/>
    </row>
    <row r="120" spans="1:11" ht="12.75" customHeight="1">
      <c r="A120" s="7"/>
      <c r="B120" s="66" t="s">
        <v>31</v>
      </c>
      <c r="C120" s="67"/>
      <c r="D120" s="7"/>
      <c r="E120" s="68">
        <f ca="1">OFFSET(QCEW!A16,0,QCEW!$E$38)</f>
        <v>74</v>
      </c>
      <c r="F120" s="7"/>
      <c r="G120" s="68">
        <f ca="1">OFFSET(QCEW!M16,0,QCEW!$E$38)</f>
        <v>438</v>
      </c>
      <c r="H120" s="69">
        <f ca="1">OFFSET(QCEW!Y16,0,QCEW!$E$38)</f>
        <v>1985</v>
      </c>
      <c r="I120" s="346" t="str">
        <f>QCEW!A44</f>
        <v>2023 Q1 to 2024 Q1 Percent Change in Ave. Weekly Wage</v>
      </c>
      <c r="J120" s="347"/>
      <c r="K120" s="348"/>
    </row>
    <row r="121" spans="1:11">
      <c r="A121" s="7"/>
      <c r="B121" s="66" t="s">
        <v>32</v>
      </c>
      <c r="C121" s="67"/>
      <c r="D121" s="7"/>
      <c r="E121" s="68">
        <f ca="1">OFFSET(QCEW!A17,0,QCEW!$E$38)</f>
        <v>67</v>
      </c>
      <c r="F121" s="7"/>
      <c r="G121" s="68">
        <f ca="1">OFFSET(QCEW!M17,0,QCEW!$E$38)</f>
        <v>231</v>
      </c>
      <c r="H121" s="69">
        <f ca="1">OFFSET(QCEW!Y17,0,QCEW!$E$38)</f>
        <v>1487</v>
      </c>
      <c r="I121" s="349"/>
      <c r="J121" s="350"/>
      <c r="K121" s="351"/>
    </row>
    <row r="122" spans="1:11">
      <c r="A122" s="7"/>
      <c r="B122" s="66" t="s">
        <v>165</v>
      </c>
      <c r="C122" s="67"/>
      <c r="D122" s="7"/>
      <c r="E122" s="68">
        <f ca="1">OFFSET(QCEW!A18,0,QCEW!$E$38)</f>
        <v>149</v>
      </c>
      <c r="F122" s="7"/>
      <c r="G122" s="68">
        <f ca="1">OFFSET(QCEW!M18,0,QCEW!$E$38)</f>
        <v>662</v>
      </c>
      <c r="H122" s="69">
        <f ca="1">OFFSET(QCEW!Y18,0,QCEW!$E$38)</f>
        <v>1486</v>
      </c>
      <c r="I122" s="70"/>
      <c r="J122" s="7"/>
      <c r="K122" s="17"/>
    </row>
    <row r="123" spans="1:11">
      <c r="A123" s="7"/>
      <c r="B123" s="66" t="s">
        <v>34</v>
      </c>
      <c r="C123" s="67"/>
      <c r="D123" s="7"/>
      <c r="E123" s="68">
        <f ca="1">OFFSET(QCEW!A19,0,QCEW!$E$38)</f>
        <v>23</v>
      </c>
      <c r="F123" s="7"/>
      <c r="G123" s="68">
        <f ca="1">OFFSET(QCEW!M19,0,QCEW!$E$38)</f>
        <v>507</v>
      </c>
      <c r="H123" s="69">
        <f ca="1">OFFSET(QCEW!Y19,0,QCEW!$E$38)</f>
        <v>2372</v>
      </c>
      <c r="I123" s="70"/>
      <c r="J123" s="7"/>
      <c r="K123" s="17"/>
    </row>
    <row r="124" spans="1:11">
      <c r="A124" s="7"/>
      <c r="B124" s="66" t="s">
        <v>35</v>
      </c>
      <c r="C124" s="67"/>
      <c r="D124" s="7"/>
      <c r="E124" s="68">
        <f ca="1">OFFSET(QCEW!A20,0,QCEW!$E$38)</f>
        <v>128</v>
      </c>
      <c r="F124" s="7"/>
      <c r="G124" s="68">
        <f ca="1">OFFSET(QCEW!M20,0,QCEW!$E$38)</f>
        <v>984</v>
      </c>
      <c r="H124" s="69">
        <f ca="1">OFFSET(QCEW!Y20,0,QCEW!$E$38)</f>
        <v>954</v>
      </c>
      <c r="I124" s="70"/>
      <c r="J124" s="7"/>
      <c r="K124" s="17"/>
    </row>
    <row r="125" spans="1:11">
      <c r="A125" s="7"/>
      <c r="B125" s="66" t="s">
        <v>36</v>
      </c>
      <c r="C125" s="67"/>
      <c r="D125" s="7"/>
      <c r="E125" s="68">
        <f ca="1">OFFSET(QCEW!A21,0,QCEW!$E$38)</f>
        <v>19</v>
      </c>
      <c r="F125" s="7"/>
      <c r="G125" s="68">
        <f ca="1">OFFSET(QCEW!M21,0,QCEW!$E$38)</f>
        <v>299</v>
      </c>
      <c r="H125" s="69">
        <f ca="1">OFFSET(QCEW!Y21,0,QCEW!$E$38)</f>
        <v>1070</v>
      </c>
      <c r="I125" s="70"/>
      <c r="J125" s="7"/>
      <c r="K125" s="17"/>
    </row>
    <row r="126" spans="1:11">
      <c r="A126" s="7"/>
      <c r="B126" s="66" t="s">
        <v>37</v>
      </c>
      <c r="C126" s="67"/>
      <c r="D126" s="7"/>
      <c r="E126" s="68">
        <f ca="1">OFFSET(QCEW!A22,0,QCEW!$E$38)</f>
        <v>155</v>
      </c>
      <c r="F126" s="7"/>
      <c r="G126" s="68">
        <f ca="1">OFFSET(QCEW!M22,0,QCEW!$E$38)</f>
        <v>3281</v>
      </c>
      <c r="H126" s="69">
        <f ca="1">OFFSET(QCEW!Y22,0,QCEW!$E$38)</f>
        <v>1194</v>
      </c>
      <c r="I126" s="70"/>
      <c r="J126" s="7"/>
      <c r="K126" s="17"/>
    </row>
    <row r="127" spans="1:11">
      <c r="A127" s="7"/>
      <c r="B127" s="66" t="s">
        <v>38</v>
      </c>
      <c r="C127" s="67"/>
      <c r="D127" s="7"/>
      <c r="E127" s="68">
        <f ca="1">OFFSET(QCEW!A23,0,QCEW!$E$38)</f>
        <v>47</v>
      </c>
      <c r="F127" s="7"/>
      <c r="G127" s="68">
        <f ca="1">OFFSET(QCEW!M23,0,QCEW!$E$38)</f>
        <v>577</v>
      </c>
      <c r="H127" s="69">
        <f ca="1">OFFSET(QCEW!Y23,0,QCEW!$E$38)</f>
        <v>614</v>
      </c>
      <c r="I127" s="70"/>
      <c r="J127" s="7"/>
      <c r="K127" s="17"/>
    </row>
    <row r="128" spans="1:11">
      <c r="A128" s="7"/>
      <c r="B128" s="66" t="s">
        <v>39</v>
      </c>
      <c r="C128" s="67"/>
      <c r="D128" s="7"/>
      <c r="E128" s="68">
        <f ca="1">OFFSET(QCEW!A24,0,QCEW!$E$38)</f>
        <v>216</v>
      </c>
      <c r="F128" s="7"/>
      <c r="G128" s="68">
        <f ca="1">OFFSET(QCEW!M24,0,QCEW!$E$38)</f>
        <v>2905</v>
      </c>
      <c r="H128" s="69">
        <f ca="1">OFFSET(QCEW!Y24,0,QCEW!$E$38)</f>
        <v>572</v>
      </c>
      <c r="I128" s="70"/>
      <c r="J128" s="7"/>
      <c r="K128" s="17"/>
    </row>
    <row r="129" spans="1:11">
      <c r="A129" s="7"/>
      <c r="B129" s="66" t="s">
        <v>298</v>
      </c>
      <c r="C129" s="67"/>
      <c r="D129" s="7"/>
      <c r="E129" s="68">
        <f ca="1">OFFSET(QCEW!A25,0,QCEW!$E$38)</f>
        <v>186</v>
      </c>
      <c r="F129" s="7"/>
      <c r="G129" s="68">
        <f ca="1">OFFSET(QCEW!M25,0,QCEW!$E$38)</f>
        <v>852</v>
      </c>
      <c r="H129" s="69">
        <f ca="1">OFFSET(QCEW!Y25,0,QCEW!$E$38)</f>
        <v>876</v>
      </c>
      <c r="I129" s="70"/>
      <c r="J129" s="7"/>
      <c r="K129" s="17"/>
    </row>
    <row r="130" spans="1:11">
      <c r="A130" s="7"/>
      <c r="B130" s="62" t="s">
        <v>44</v>
      </c>
      <c r="C130" s="63"/>
      <c r="D130" s="7"/>
      <c r="E130" s="59">
        <f ca="1">OFFSET(QCEW!A27,0,QCEW!$E$38)</f>
        <v>105</v>
      </c>
      <c r="F130" s="58"/>
      <c r="G130" s="59">
        <f ca="1">OFFSET(QCEW!M27,0,QCEW!$E$38)</f>
        <v>4412</v>
      </c>
      <c r="H130" s="60">
        <f ca="1">OFFSET(QCEW!Y27,0,QCEW!$E$38)</f>
        <v>959</v>
      </c>
      <c r="I130" s="61"/>
      <c r="J130" s="58"/>
      <c r="K130" s="17"/>
    </row>
    <row r="131" spans="1:11">
      <c r="A131" s="7"/>
      <c r="B131" s="72" t="s">
        <v>45</v>
      </c>
      <c r="C131" s="73"/>
      <c r="D131" s="7"/>
      <c r="E131" s="68">
        <f ca="1">OFFSET(QCEW!A28,0,QCEW!$E$38)</f>
        <v>21</v>
      </c>
      <c r="F131" s="7"/>
      <c r="G131" s="68">
        <f ca="1">OFFSET(QCEW!M28,0,QCEW!$E$38)</f>
        <v>132</v>
      </c>
      <c r="H131" s="69">
        <f ca="1">OFFSET(QCEW!Y28,0,QCEW!$E$38)</f>
        <v>1484</v>
      </c>
      <c r="I131" s="70"/>
      <c r="J131" s="7"/>
      <c r="K131" s="17"/>
    </row>
    <row r="132" spans="1:11">
      <c r="A132" s="7"/>
      <c r="B132" s="72" t="s">
        <v>46</v>
      </c>
      <c r="C132" s="73"/>
      <c r="D132" s="7"/>
      <c r="E132" s="68">
        <f ca="1">OFFSET(QCEW!A29,0,QCEW!$E$38)</f>
        <v>42</v>
      </c>
      <c r="F132" s="7"/>
      <c r="G132" s="68">
        <f ca="1">OFFSET(QCEW!M29,0,QCEW!$E$38)</f>
        <v>758</v>
      </c>
      <c r="H132" s="69">
        <f ca="1">OFFSET(QCEW!Y29,0,QCEW!$E$38)</f>
        <v>1018</v>
      </c>
      <c r="I132" s="70"/>
      <c r="J132" s="7"/>
      <c r="K132" s="17"/>
    </row>
    <row r="133" spans="1:11">
      <c r="A133" s="7"/>
      <c r="B133" s="74" t="s">
        <v>47</v>
      </c>
      <c r="C133" s="75"/>
      <c r="D133" s="21"/>
      <c r="E133" s="76">
        <f ca="1">OFFSET(QCEW!A30,0,QCEW!$E$38)</f>
        <v>42</v>
      </c>
      <c r="F133" s="21"/>
      <c r="G133" s="76">
        <f ca="1">OFFSET(QCEW!M30,0,QCEW!$E$38)</f>
        <v>3521</v>
      </c>
      <c r="H133" s="77">
        <f ca="1">OFFSET(QCEW!Y30,0,QCEW!$E$38)</f>
        <v>926</v>
      </c>
      <c r="I133" s="71"/>
      <c r="J133" s="21"/>
      <c r="K133" s="22"/>
    </row>
    <row r="134" spans="1:11">
      <c r="A134" s="7"/>
      <c r="B134" s="83" t="s">
        <v>80</v>
      </c>
    </row>
    <row r="135" spans="1:11">
      <c r="A135" s="7"/>
      <c r="B135" s="23" t="s">
        <v>235</v>
      </c>
      <c r="C135" s="7"/>
      <c r="D135" s="7"/>
      <c r="E135" s="7"/>
      <c r="F135" s="7"/>
      <c r="G135" s="7"/>
      <c r="H135" s="7"/>
      <c r="I135" s="7"/>
      <c r="J135" s="7"/>
      <c r="K135" s="9" t="s">
        <v>406</v>
      </c>
    </row>
    <row r="136" spans="1:11" ht="22.5" customHeight="1"/>
    <row r="153" ht="22.5" customHeight="1"/>
  </sheetData>
  <sheetProtection algorithmName="SHA-512" hashValue="DnD8kf3Q5chM21CA4HQ95pOMwDn79uDVcnV0pKrXKdv8whNqECSKlkieInXRM73MJf2DhbwXwMftRBJTol7zAg==" saltValue="aV6jfBWU4uaTo/w+Q81iQQ==" spinCount="100000" sheet="1" objects="1" selectLockedCells="1" selectUnlockedCells="1"/>
  <mergeCells count="29">
    <mergeCell ref="M105:P105"/>
    <mergeCell ref="B6:K6"/>
    <mergeCell ref="B26:K26"/>
    <mergeCell ref="B52:E52"/>
    <mergeCell ref="G52:K52"/>
    <mergeCell ref="B69:K69"/>
    <mergeCell ref="B88:K88"/>
    <mergeCell ref="B103:K103"/>
    <mergeCell ref="I105:K106"/>
    <mergeCell ref="M93:P93"/>
    <mergeCell ref="M8:P8"/>
    <mergeCell ref="M28:P28"/>
    <mergeCell ref="M90:P90"/>
    <mergeCell ref="I120:K121"/>
    <mergeCell ref="B4:C4"/>
    <mergeCell ref="H4:J4"/>
    <mergeCell ref="G89:K89"/>
    <mergeCell ref="G90:K90"/>
    <mergeCell ref="B7:G7"/>
    <mergeCell ref="G54:K54"/>
    <mergeCell ref="G55:K55"/>
    <mergeCell ref="B70:G70"/>
    <mergeCell ref="B104:H104"/>
    <mergeCell ref="B27:G27"/>
    <mergeCell ref="B53:D53"/>
    <mergeCell ref="G53:H53"/>
    <mergeCell ref="H8:K8"/>
    <mergeCell ref="H9:K10"/>
    <mergeCell ref="B89:E89"/>
  </mergeCells>
  <phoneticPr fontId="2" type="noConversion"/>
  <printOptions horizontalCentered="1" verticalCentered="1"/>
  <pageMargins left="0.5" right="0.5" top="0.36" bottom="0.36" header="0" footer="0"/>
  <pageSetup scale="82" fitToHeight="2" orientation="portrait" r:id="rId1"/>
  <headerFooter alignWithMargins="0"/>
  <rowBreaks count="1" manualBreakCount="1">
    <brk id="66" max="16383" man="1"/>
  </rowBreaks>
  <colBreaks count="1" manualBreakCount="1">
    <brk id="11" max="1048575" man="1"/>
  </colBreaks>
  <ignoredErrors>
    <ignoredError sqref="D99:E99"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12</xdr:col>
                    <xdr:colOff>0</xdr:colOff>
                    <xdr:row>105</xdr:row>
                    <xdr:rowOff>76200</xdr:rowOff>
                  </from>
                  <to>
                    <xdr:col>15</xdr:col>
                    <xdr:colOff>590550</xdr:colOff>
                    <xdr:row>106</xdr:row>
                    <xdr:rowOff>114300</xdr:rowOff>
                  </to>
                </anchor>
              </controlPr>
            </control>
          </mc:Choice>
        </mc:AlternateContent>
        <mc:AlternateContent xmlns:mc="http://schemas.openxmlformats.org/markup-compatibility/2006">
          <mc:Choice Requires="x14">
            <control shapeId="2056" r:id="rId5" name="Drop Down 8">
              <controlPr defaultSize="0" print="0" autoLine="0" autoPict="0">
                <anchor moveWithCells="1">
                  <from>
                    <xdr:col>12</xdr:col>
                    <xdr:colOff>0</xdr:colOff>
                    <xdr:row>8</xdr:row>
                    <xdr:rowOff>85725</xdr:rowOff>
                  </from>
                  <to>
                    <xdr:col>16</xdr:col>
                    <xdr:colOff>0</xdr:colOff>
                    <xdr:row>10</xdr:row>
                    <xdr:rowOff>19050</xdr:rowOff>
                  </to>
                </anchor>
              </controlPr>
            </control>
          </mc:Choice>
        </mc:AlternateContent>
        <mc:AlternateContent xmlns:mc="http://schemas.openxmlformats.org/markup-compatibility/2006">
          <mc:Choice Requires="x14">
            <control shapeId="2058" r:id="rId6" name="Drop Down 10">
              <controlPr defaultSize="0" autoLine="0" autoPict="0">
                <anchor moveWithCells="1">
                  <from>
                    <xdr:col>12</xdr:col>
                    <xdr:colOff>9525</xdr:colOff>
                    <xdr:row>28</xdr:row>
                    <xdr:rowOff>114300</xdr:rowOff>
                  </from>
                  <to>
                    <xdr:col>16</xdr:col>
                    <xdr:colOff>38100</xdr:colOff>
                    <xdr:row>30</xdr:row>
                    <xdr:rowOff>19050</xdr:rowOff>
                  </to>
                </anchor>
              </controlPr>
            </control>
          </mc:Choice>
        </mc:AlternateContent>
        <mc:AlternateContent xmlns:mc="http://schemas.openxmlformats.org/markup-compatibility/2006">
          <mc:Choice Requires="x14">
            <control shapeId="2071" r:id="rId7" name="Drop Down 23">
              <controlPr defaultSize="0" autoLine="0" autoPict="0">
                <anchor moveWithCells="1">
                  <from>
                    <xdr:col>12</xdr:col>
                    <xdr:colOff>9525</xdr:colOff>
                    <xdr:row>93</xdr:row>
                    <xdr:rowOff>38100</xdr:rowOff>
                  </from>
                  <to>
                    <xdr:col>16</xdr:col>
                    <xdr:colOff>0</xdr:colOff>
                    <xdr:row>94</xdr:row>
                    <xdr:rowOff>104775</xdr:rowOff>
                  </to>
                </anchor>
              </controlPr>
            </control>
          </mc:Choice>
        </mc:AlternateContent>
        <mc:AlternateContent xmlns:mc="http://schemas.openxmlformats.org/markup-compatibility/2006">
          <mc:Choice Requires="x14">
            <control shapeId="2072" r:id="rId8" name="Drop Down 24">
              <controlPr defaultSize="0" autoLine="0" autoPict="0">
                <anchor moveWithCells="1">
                  <from>
                    <xdr:col>12</xdr:col>
                    <xdr:colOff>28575</xdr:colOff>
                    <xdr:row>90</xdr:row>
                    <xdr:rowOff>47625</xdr:rowOff>
                  </from>
                  <to>
                    <xdr:col>16</xdr:col>
                    <xdr:colOff>0</xdr:colOff>
                    <xdr:row>91</xdr:row>
                    <xdr:rowOff>85725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DK360"/>
  <sheetViews>
    <sheetView topLeftCell="B1" zoomScale="90" zoomScaleNormal="90" workbookViewId="0">
      <pane ySplit="4" topLeftCell="A5" activePane="bottomLeft" state="frozen"/>
      <selection activeCell="L273" sqref="L273"/>
      <selection pane="bottomLeft" activeCell="O265" sqref="O265"/>
    </sheetView>
  </sheetViews>
  <sheetFormatPr defaultColWidth="9.140625" defaultRowHeight="15" customHeight="1"/>
  <cols>
    <col min="1" max="1" width="23.140625" style="7" customWidth="1"/>
    <col min="2" max="2" width="11.7109375" style="7" customWidth="1"/>
    <col min="3" max="8" width="12" style="7" bestFit="1" customWidth="1"/>
    <col min="9" max="9" width="11.7109375" style="7" customWidth="1"/>
    <col min="10" max="14" width="13.5703125" style="7" bestFit="1" customWidth="1"/>
    <col min="15" max="15" width="12.85546875" style="7" bestFit="1" customWidth="1"/>
    <col min="16" max="16" width="11.7109375" style="7" bestFit="1" customWidth="1"/>
    <col min="17" max="17" width="11.28515625" style="9" bestFit="1" customWidth="1"/>
    <col min="18" max="18" width="10.85546875" style="28" bestFit="1" customWidth="1"/>
    <col min="19" max="19" width="9.140625" style="7"/>
    <col min="20" max="20" width="9.140625" style="7" customWidth="1"/>
    <col min="21" max="21" width="9.140625" style="7"/>
    <col min="22" max="23" width="9.140625" style="7" customWidth="1"/>
    <col min="24" max="24" width="12.140625" style="7" customWidth="1"/>
    <col min="25" max="25" width="11.42578125" style="7" bestFit="1" customWidth="1"/>
    <col min="26" max="26" width="10" style="7" bestFit="1" customWidth="1"/>
    <col min="27" max="27" width="10.85546875" style="7" bestFit="1" customWidth="1"/>
    <col min="28" max="29" width="9.140625" style="7" customWidth="1"/>
    <col min="30" max="42" width="11.42578125" style="7" bestFit="1" customWidth="1"/>
    <col min="43" max="43" width="6.140625" style="7" customWidth="1"/>
    <col min="44" max="44" width="6.42578125" style="7" customWidth="1"/>
    <col min="45" max="46" width="8" style="7" bestFit="1" customWidth="1"/>
    <col min="47" max="47" width="7" style="7" bestFit="1" customWidth="1"/>
    <col min="48" max="48" width="6.28515625" style="7" customWidth="1"/>
    <col min="49" max="49" width="5.85546875" style="7" customWidth="1"/>
    <col min="50" max="51" width="7" style="7" bestFit="1" customWidth="1"/>
    <col min="52" max="52" width="6" style="7" bestFit="1" customWidth="1"/>
    <col min="53" max="53" width="4.7109375" style="7" bestFit="1" customWidth="1"/>
    <col min="54" max="54" width="3" style="7" customWidth="1"/>
    <col min="55" max="55" width="8" style="7" bestFit="1" customWidth="1"/>
    <col min="56" max="56" width="8.7109375" style="7" customWidth="1"/>
    <col min="57" max="57" width="6" style="7" bestFit="1" customWidth="1"/>
    <col min="58" max="58" width="4.7109375" style="7" bestFit="1" customWidth="1"/>
    <col min="59" max="59" width="3.28515625" style="7" customWidth="1"/>
    <col min="60" max="61" width="7" style="7" bestFit="1" customWidth="1"/>
    <col min="62" max="62" width="6" style="7" bestFit="1" customWidth="1"/>
    <col min="63" max="63" width="4.7109375" style="7" bestFit="1" customWidth="1"/>
    <col min="64" max="64" width="3.42578125" style="7" customWidth="1"/>
    <col min="65" max="66" width="7" style="7" bestFit="1" customWidth="1"/>
    <col min="67" max="67" width="4.5703125" style="7" bestFit="1" customWidth="1"/>
    <col min="68" max="68" width="4.7109375" style="7" bestFit="1" customWidth="1"/>
    <col min="69" max="69" width="3.85546875" style="7" customWidth="1"/>
    <col min="70" max="71" width="7" style="7" bestFit="1" customWidth="1"/>
    <col min="72" max="72" width="4.5703125" style="7" bestFit="1" customWidth="1"/>
    <col min="73" max="73" width="4.7109375" style="7" bestFit="1" customWidth="1"/>
    <col min="74" max="74" width="2.7109375" style="7" customWidth="1"/>
    <col min="75" max="76" width="6" style="7" bestFit="1" customWidth="1"/>
    <col min="77" max="77" width="4.5703125" style="7" bestFit="1" customWidth="1"/>
    <col min="78" max="78" width="4.7109375" style="7" bestFit="1" customWidth="1"/>
    <col min="79" max="79" width="3.42578125" style="7" customWidth="1"/>
    <col min="80" max="81" width="6" style="7" bestFit="1" customWidth="1"/>
    <col min="82" max="82" width="4.5703125" style="7" bestFit="1" customWidth="1"/>
    <col min="83" max="83" width="4.7109375" style="7" bestFit="1" customWidth="1"/>
    <col min="84" max="84" width="3" style="7" customWidth="1"/>
    <col min="85" max="86" width="7" style="7" bestFit="1" customWidth="1"/>
    <col min="87" max="87" width="4.5703125" style="7" bestFit="1" customWidth="1"/>
    <col min="88" max="88" width="4.7109375" style="7" bestFit="1" customWidth="1"/>
    <col min="89" max="89" width="2.7109375" style="7" customWidth="1"/>
    <col min="90" max="91" width="6" style="7" bestFit="1" customWidth="1"/>
    <col min="92" max="92" width="4.5703125" style="7" bestFit="1" customWidth="1"/>
    <col min="93" max="93" width="4.7109375" style="7" bestFit="1" customWidth="1"/>
    <col min="94" max="94" width="3.140625" style="7" customWidth="1"/>
    <col min="95" max="96" width="6" style="7" bestFit="1" customWidth="1"/>
    <col min="97" max="97" width="4.5703125" style="7" bestFit="1" customWidth="1"/>
    <col min="98" max="98" width="4.7109375" style="7" bestFit="1" customWidth="1"/>
    <col min="99" max="99" width="4.5703125" style="7" customWidth="1"/>
    <col min="100" max="101" width="7" style="7" bestFit="1" customWidth="1"/>
    <col min="102" max="102" width="6" style="7" bestFit="1" customWidth="1"/>
    <col min="103" max="103" width="4.7109375" style="7" bestFit="1" customWidth="1"/>
    <col min="104" max="104" width="4.5703125" style="7" customWidth="1"/>
    <col min="105" max="106" width="7" style="7" bestFit="1" customWidth="1"/>
    <col min="107" max="107" width="4.5703125" style="7" bestFit="1" customWidth="1"/>
    <col min="108" max="108" width="4.7109375" style="7" bestFit="1" customWidth="1"/>
    <col min="109" max="109" width="3.7109375" style="7" customWidth="1"/>
    <col min="110" max="110" width="4.140625" style="7" customWidth="1"/>
    <col min="111" max="112" width="7" style="7" bestFit="1" customWidth="1"/>
    <col min="113" max="113" width="6" style="7" bestFit="1" customWidth="1"/>
    <col min="114" max="114" width="4.7109375" style="7" bestFit="1" customWidth="1"/>
    <col min="115" max="115" width="4.28515625" style="7" customWidth="1"/>
    <col min="116" max="117" width="7" style="7" bestFit="1" customWidth="1"/>
    <col min="118" max="118" width="4.5703125" style="7" bestFit="1" customWidth="1"/>
    <col min="119" max="119" width="4.7109375" style="7" bestFit="1" customWidth="1"/>
    <col min="120" max="16384" width="9.140625" style="7"/>
  </cols>
  <sheetData>
    <row r="1" spans="1:113" ht="15" customHeight="1">
      <c r="A1" s="7" t="s">
        <v>387</v>
      </c>
    </row>
    <row r="2" spans="1:113" ht="15" customHeight="1">
      <c r="A2" s="7" t="s">
        <v>389</v>
      </c>
      <c r="I2" s="311" t="s">
        <v>253</v>
      </c>
      <c r="J2" s="314">
        <v>45591</v>
      </c>
      <c r="L2" s="312" t="s">
        <v>606</v>
      </c>
      <c r="M2" s="313"/>
      <c r="N2" s="28"/>
      <c r="O2" s="28"/>
      <c r="R2" s="28" t="s">
        <v>392</v>
      </c>
      <c r="S2" s="28" t="s">
        <v>393</v>
      </c>
    </row>
    <row r="3" spans="1:113" ht="15" customHeight="1">
      <c r="B3" s="110"/>
      <c r="P3" s="28"/>
      <c r="R3" s="28" t="s">
        <v>391</v>
      </c>
      <c r="S3" s="28" t="s">
        <v>394</v>
      </c>
    </row>
    <row r="4" spans="1:113" ht="15" customHeight="1">
      <c r="A4" s="111"/>
      <c r="B4" s="147" t="s">
        <v>593</v>
      </c>
      <c r="C4" s="147" t="s">
        <v>594</v>
      </c>
      <c r="D4" s="147" t="s">
        <v>595</v>
      </c>
      <c r="E4" s="147" t="s">
        <v>596</v>
      </c>
      <c r="F4" s="147" t="s">
        <v>597</v>
      </c>
      <c r="G4" s="147" t="s">
        <v>598</v>
      </c>
      <c r="H4" s="147" t="s">
        <v>599</v>
      </c>
      <c r="I4" s="147" t="s">
        <v>600</v>
      </c>
      <c r="J4" s="147" t="s">
        <v>601</v>
      </c>
      <c r="K4" s="147" t="s">
        <v>602</v>
      </c>
      <c r="L4" s="147" t="s">
        <v>603</v>
      </c>
      <c r="M4" s="147" t="s">
        <v>604</v>
      </c>
      <c r="N4" s="147" t="s">
        <v>605</v>
      </c>
      <c r="P4" s="28"/>
      <c r="R4" s="108">
        <f ca="1">OFFSET(LaborForce!R5,LaborForce!$S$4,0)</f>
        <v>6</v>
      </c>
      <c r="S4" s="106">
        <v>3</v>
      </c>
      <c r="T4" s="81" t="s">
        <v>390</v>
      </c>
      <c r="U4" s="107"/>
      <c r="V4" s="107"/>
    </row>
    <row r="5" spans="1:113" ht="15" customHeight="1">
      <c r="A5" s="7" t="s">
        <v>386</v>
      </c>
    </row>
    <row r="6" spans="1:113" ht="15" customHeight="1">
      <c r="B6" s="206">
        <v>761110</v>
      </c>
      <c r="C6" s="206">
        <v>761930</v>
      </c>
      <c r="D6" s="206">
        <v>762050</v>
      </c>
      <c r="E6" s="206">
        <v>761980</v>
      </c>
      <c r="F6" s="206">
        <v>763110</v>
      </c>
      <c r="G6" s="206">
        <v>763610</v>
      </c>
      <c r="H6" s="206">
        <v>765370</v>
      </c>
      <c r="I6" s="206">
        <v>767470</v>
      </c>
      <c r="J6" s="206">
        <v>769070</v>
      </c>
      <c r="K6" s="206">
        <v>769900</v>
      </c>
      <c r="L6" s="206">
        <v>769960</v>
      </c>
      <c r="M6" s="206">
        <v>770830</v>
      </c>
      <c r="N6" s="206">
        <v>772020</v>
      </c>
      <c r="P6" s="114"/>
      <c r="Q6" s="9" t="s">
        <v>84</v>
      </c>
      <c r="R6" s="28">
        <v>16</v>
      </c>
      <c r="S6" s="7" t="s">
        <v>92</v>
      </c>
      <c r="X6" s="2"/>
      <c r="Y6" s="2"/>
      <c r="Z6" s="2"/>
      <c r="AA6" s="2"/>
      <c r="AB6" s="2"/>
      <c r="AC6" s="2"/>
      <c r="AD6" s="2"/>
      <c r="AE6" s="2"/>
      <c r="AF6" s="2"/>
      <c r="AG6" s="2"/>
      <c r="AH6" s="2"/>
      <c r="AI6" s="2"/>
      <c r="AJ6" s="2"/>
      <c r="AL6" s="333"/>
      <c r="AM6" s="333"/>
      <c r="AN6" s="333"/>
      <c r="AO6" s="333"/>
      <c r="AP6" s="333"/>
      <c r="AQ6" s="333"/>
      <c r="AR6" s="333"/>
      <c r="AS6" s="333"/>
      <c r="AT6" s="333"/>
      <c r="AU6" s="333"/>
      <c r="AV6" s="333"/>
      <c r="AW6" s="333"/>
      <c r="AX6" s="333"/>
      <c r="DE6" s="112"/>
    </row>
    <row r="7" spans="1:113" ht="15" customHeight="1">
      <c r="B7" s="206">
        <v>742130</v>
      </c>
      <c r="C7" s="206">
        <v>742010</v>
      </c>
      <c r="D7" s="206">
        <v>742040</v>
      </c>
      <c r="E7" s="206">
        <v>742110</v>
      </c>
      <c r="F7" s="206">
        <v>743450</v>
      </c>
      <c r="G7" s="206">
        <v>743740</v>
      </c>
      <c r="H7" s="206">
        <v>745470</v>
      </c>
      <c r="I7" s="206">
        <v>747480</v>
      </c>
      <c r="J7" s="206">
        <v>749670</v>
      </c>
      <c r="K7" s="206">
        <v>750790</v>
      </c>
      <c r="L7" s="206">
        <v>750390</v>
      </c>
      <c r="M7" s="206">
        <v>750760</v>
      </c>
      <c r="N7" s="206">
        <v>752590</v>
      </c>
      <c r="P7" s="114"/>
      <c r="Q7" s="9" t="s">
        <v>85</v>
      </c>
      <c r="R7" s="28">
        <v>1</v>
      </c>
      <c r="S7" s="7" t="s">
        <v>93</v>
      </c>
      <c r="X7" s="332"/>
      <c r="Y7" s="332"/>
      <c r="Z7" s="332"/>
      <c r="AA7" s="332"/>
      <c r="AB7" s="332"/>
      <c r="AC7" s="332"/>
      <c r="AD7" s="332"/>
      <c r="AE7" s="332"/>
      <c r="AF7" s="332"/>
      <c r="AG7" s="332"/>
      <c r="AH7" s="332"/>
      <c r="AI7" s="332"/>
      <c r="AJ7" s="332"/>
      <c r="AL7" s="333"/>
      <c r="AM7" s="333"/>
      <c r="AN7" s="333"/>
      <c r="AO7" s="333"/>
      <c r="AP7" s="333"/>
      <c r="AQ7" s="333"/>
      <c r="AR7" s="333"/>
      <c r="AS7" s="333"/>
      <c r="AT7" s="333"/>
      <c r="AU7" s="333"/>
      <c r="AV7" s="333"/>
      <c r="AW7" s="333"/>
      <c r="AX7" s="333"/>
      <c r="DE7" s="112"/>
    </row>
    <row r="8" spans="1:113" ht="15" customHeight="1">
      <c r="B8" s="206">
        <v>18980</v>
      </c>
      <c r="C8" s="206">
        <v>19920</v>
      </c>
      <c r="D8" s="206">
        <v>20010</v>
      </c>
      <c r="E8" s="206">
        <v>19870</v>
      </c>
      <c r="F8" s="206">
        <v>19660</v>
      </c>
      <c r="G8" s="206">
        <v>19870</v>
      </c>
      <c r="H8" s="206">
        <v>19900</v>
      </c>
      <c r="I8" s="206">
        <v>19990</v>
      </c>
      <c r="J8" s="206">
        <v>19400</v>
      </c>
      <c r="K8" s="206">
        <v>19110</v>
      </c>
      <c r="L8" s="206">
        <v>19570</v>
      </c>
      <c r="M8" s="206">
        <v>20070</v>
      </c>
      <c r="N8" s="206">
        <v>19430</v>
      </c>
      <c r="P8" s="114"/>
      <c r="Q8" s="9" t="s">
        <v>82</v>
      </c>
      <c r="R8" s="28">
        <v>6</v>
      </c>
      <c r="S8" s="7" t="s">
        <v>90</v>
      </c>
      <c r="X8" s="332"/>
      <c r="Y8" s="332"/>
      <c r="Z8" s="332"/>
      <c r="AA8" s="332"/>
      <c r="AB8" s="332"/>
      <c r="AC8" s="332"/>
      <c r="AD8" s="332"/>
      <c r="AE8" s="332"/>
      <c r="AF8" s="332"/>
      <c r="AG8" s="332"/>
      <c r="AH8" s="332"/>
      <c r="AI8" s="332"/>
      <c r="AJ8" s="332"/>
      <c r="AL8" s="333"/>
      <c r="AM8" s="333"/>
      <c r="AN8" s="333"/>
      <c r="AO8" s="333"/>
      <c r="AP8" s="333"/>
      <c r="AQ8" s="333"/>
      <c r="AR8" s="333"/>
      <c r="AS8" s="333"/>
      <c r="AT8" s="333"/>
      <c r="AU8" s="333"/>
      <c r="AV8" s="333"/>
      <c r="AW8" s="333"/>
      <c r="AX8" s="333"/>
      <c r="DE8" s="112"/>
    </row>
    <row r="9" spans="1:113" ht="15" customHeight="1">
      <c r="B9" s="207">
        <v>2.5000000000000001E-2</v>
      </c>
      <c r="C9" s="207">
        <v>2.5999999999999999E-2</v>
      </c>
      <c r="D9" s="207">
        <v>2.5999999999999999E-2</v>
      </c>
      <c r="E9" s="207">
        <v>2.5999999999999999E-2</v>
      </c>
      <c r="F9" s="207">
        <v>2.5999999999999999E-2</v>
      </c>
      <c r="G9" s="207">
        <v>2.5999999999999999E-2</v>
      </c>
      <c r="H9" s="207">
        <v>2.5999999999999999E-2</v>
      </c>
      <c r="I9" s="207">
        <v>2.5999999999999999E-2</v>
      </c>
      <c r="J9" s="207">
        <v>2.5000000000000001E-2</v>
      </c>
      <c r="K9" s="207">
        <v>2.5000000000000001E-2</v>
      </c>
      <c r="L9" s="207">
        <v>2.5000000000000001E-2</v>
      </c>
      <c r="M9" s="207">
        <v>2.5999999999999999E-2</v>
      </c>
      <c r="N9" s="207">
        <v>2.5000000000000001E-2</v>
      </c>
      <c r="P9" s="114"/>
      <c r="Q9" s="9" t="s">
        <v>83</v>
      </c>
      <c r="R9" s="28">
        <v>11</v>
      </c>
      <c r="S9" s="7" t="s">
        <v>91</v>
      </c>
      <c r="AL9" s="333"/>
      <c r="AM9" s="333"/>
      <c r="AN9" s="333"/>
      <c r="AO9" s="333"/>
      <c r="AP9" s="333"/>
      <c r="AQ9" s="333"/>
      <c r="AR9" s="333"/>
      <c r="AS9" s="333"/>
      <c r="AT9" s="333"/>
      <c r="AU9" s="333"/>
      <c r="AV9" s="333"/>
      <c r="AW9" s="333"/>
      <c r="AX9" s="333"/>
      <c r="DE9" s="112"/>
    </row>
    <row r="10" spans="1:113" ht="15" customHeight="1">
      <c r="A10" s="7" t="s">
        <v>90</v>
      </c>
      <c r="B10" s="195"/>
      <c r="C10" s="195"/>
      <c r="D10" s="195"/>
      <c r="E10" s="195"/>
      <c r="F10" s="195"/>
      <c r="G10" s="195"/>
      <c r="H10" s="195"/>
      <c r="I10" s="195"/>
      <c r="J10" s="195"/>
      <c r="K10" s="195"/>
      <c r="L10" s="195"/>
      <c r="M10" s="195"/>
      <c r="N10" s="195"/>
      <c r="P10" s="114"/>
      <c r="Q10" s="9" t="s">
        <v>52</v>
      </c>
      <c r="R10" s="28">
        <v>21</v>
      </c>
      <c r="S10" s="110" t="s">
        <v>94</v>
      </c>
      <c r="T10" s="110"/>
      <c r="U10" s="110"/>
      <c r="DE10" s="112"/>
    </row>
    <row r="11" spans="1:113" ht="15" customHeight="1">
      <c r="B11" s="158">
        <v>167718000</v>
      </c>
      <c r="C11" s="158">
        <v>167774000</v>
      </c>
      <c r="D11" s="158">
        <v>167977000</v>
      </c>
      <c r="E11" s="158">
        <v>166661000</v>
      </c>
      <c r="F11" s="158">
        <v>166428000</v>
      </c>
      <c r="G11" s="158">
        <v>167285000</v>
      </c>
      <c r="H11" s="158">
        <v>167960000</v>
      </c>
      <c r="I11" s="158">
        <v>167484000</v>
      </c>
      <c r="J11" s="158">
        <v>167576000</v>
      </c>
      <c r="K11" s="158">
        <v>169007000</v>
      </c>
      <c r="L11" s="158">
        <v>169723000</v>
      </c>
      <c r="M11" s="158">
        <v>168763000</v>
      </c>
      <c r="N11" s="158">
        <v>168569000</v>
      </c>
      <c r="O11" s="172"/>
      <c r="P11" s="157"/>
      <c r="Q11" s="9" t="s">
        <v>53</v>
      </c>
      <c r="R11" s="28">
        <v>26</v>
      </c>
      <c r="S11" s="110" t="s">
        <v>95</v>
      </c>
      <c r="T11" s="110"/>
      <c r="U11" s="110"/>
      <c r="DE11" s="112"/>
    </row>
    <row r="12" spans="1:113" ht="15" customHeight="1">
      <c r="B12" s="158">
        <v>161669000</v>
      </c>
      <c r="C12" s="158">
        <v>161676000</v>
      </c>
      <c r="D12" s="158">
        <v>162149000</v>
      </c>
      <c r="E12" s="158">
        <v>160754000</v>
      </c>
      <c r="F12" s="158">
        <v>159650000</v>
      </c>
      <c r="G12" s="158">
        <v>160315000</v>
      </c>
      <c r="H12" s="158">
        <v>161356000</v>
      </c>
      <c r="I12" s="158">
        <v>161590000</v>
      </c>
      <c r="J12" s="158">
        <v>161341000</v>
      </c>
      <c r="K12" s="158">
        <v>161774000</v>
      </c>
      <c r="L12" s="158">
        <v>162038000</v>
      </c>
      <c r="M12" s="158">
        <v>161348000</v>
      </c>
      <c r="N12" s="158">
        <v>162046000</v>
      </c>
      <c r="O12" s="172"/>
      <c r="P12" s="157"/>
      <c r="Q12" s="9" t="s">
        <v>54</v>
      </c>
      <c r="R12" s="28">
        <v>31</v>
      </c>
      <c r="S12" s="110" t="s">
        <v>96</v>
      </c>
      <c r="T12" s="110"/>
      <c r="U12" s="110"/>
      <c r="DE12" s="112"/>
    </row>
    <row r="13" spans="1:113" ht="15" customHeight="1">
      <c r="B13" s="158">
        <v>6049000</v>
      </c>
      <c r="C13" s="158">
        <v>6098000</v>
      </c>
      <c r="D13" s="158">
        <v>5827000</v>
      </c>
      <c r="E13" s="158">
        <v>5907000</v>
      </c>
      <c r="F13" s="158">
        <v>6778000</v>
      </c>
      <c r="G13" s="158">
        <v>6970000</v>
      </c>
      <c r="H13" s="158">
        <v>6604000</v>
      </c>
      <c r="I13" s="158">
        <v>5894000</v>
      </c>
      <c r="J13" s="158">
        <v>6235000</v>
      </c>
      <c r="K13" s="158">
        <v>7233000</v>
      </c>
      <c r="L13" s="158">
        <v>7685000</v>
      </c>
      <c r="M13" s="158">
        <v>7415000</v>
      </c>
      <c r="N13" s="158">
        <v>6524000</v>
      </c>
      <c r="O13" s="172"/>
      <c r="P13" s="157"/>
      <c r="Q13" s="9" t="s">
        <v>55</v>
      </c>
      <c r="R13" s="28">
        <v>36</v>
      </c>
      <c r="S13" s="110" t="s">
        <v>123</v>
      </c>
      <c r="T13" s="110"/>
      <c r="U13" s="110"/>
      <c r="Y13" s="193"/>
      <c r="Z13" s="193"/>
      <c r="AA13" s="193"/>
      <c r="AB13" s="193"/>
      <c r="AC13" s="193"/>
      <c r="AD13" s="193"/>
      <c r="AE13" s="193"/>
      <c r="AF13" s="193"/>
      <c r="AG13" s="193"/>
      <c r="AH13" s="193"/>
      <c r="AI13" s="193"/>
      <c r="AJ13" s="193"/>
      <c r="DE13" s="112"/>
    </row>
    <row r="14" spans="1:113" ht="15" customHeight="1">
      <c r="B14" s="213">
        <v>3.5999999999999997E-2</v>
      </c>
      <c r="C14" s="213">
        <v>3.5999999999999997E-2</v>
      </c>
      <c r="D14" s="213">
        <v>3.5000000000000003E-2</v>
      </c>
      <c r="E14" s="213">
        <v>3.5000000000000003E-2</v>
      </c>
      <c r="F14" s="213">
        <v>4.1000000000000002E-2</v>
      </c>
      <c r="G14" s="213">
        <v>4.2000000000000003E-2</v>
      </c>
      <c r="H14" s="213">
        <v>3.9E-2</v>
      </c>
      <c r="I14" s="213">
        <v>3.5000000000000003E-2</v>
      </c>
      <c r="J14" s="213">
        <v>3.6999999999999998E-2</v>
      </c>
      <c r="K14" s="213">
        <v>4.2999999999999997E-2</v>
      </c>
      <c r="L14" s="213">
        <v>4.4999999999999998E-2</v>
      </c>
      <c r="M14" s="213">
        <v>4.3999999999999997E-2</v>
      </c>
      <c r="N14" s="213">
        <v>3.9E-2</v>
      </c>
      <c r="O14" s="172"/>
      <c r="P14" s="170"/>
      <c r="R14" s="28">
        <v>41</v>
      </c>
      <c r="S14" s="110" t="s">
        <v>97</v>
      </c>
      <c r="T14" s="110"/>
      <c r="U14" s="110"/>
      <c r="DF14" s="112"/>
      <c r="DG14" s="112"/>
      <c r="DH14" s="112"/>
      <c r="DI14" s="113"/>
    </row>
    <row r="15" spans="1:113" ht="15" customHeight="1">
      <c r="A15" s="7" t="s">
        <v>91</v>
      </c>
      <c r="B15" s="194"/>
      <c r="C15" s="194"/>
      <c r="D15" s="194"/>
      <c r="E15" s="194"/>
      <c r="F15" s="194"/>
      <c r="G15" s="194"/>
      <c r="H15" s="194"/>
      <c r="I15" s="194"/>
      <c r="J15" s="194"/>
      <c r="K15" s="194"/>
      <c r="L15" s="194"/>
      <c r="M15" s="194"/>
      <c r="N15" s="194"/>
      <c r="O15" s="157"/>
      <c r="P15" s="157"/>
      <c r="Q15" s="9" t="s">
        <v>57</v>
      </c>
      <c r="R15" s="28">
        <v>46</v>
      </c>
      <c r="S15" s="110" t="s">
        <v>98</v>
      </c>
      <c r="T15" s="110"/>
      <c r="U15" s="110"/>
      <c r="DF15" s="112"/>
      <c r="DG15" s="112"/>
      <c r="DH15" s="112"/>
      <c r="DI15" s="113"/>
    </row>
    <row r="16" spans="1:113" ht="15" customHeight="1">
      <c r="B16" s="158">
        <v>167897000</v>
      </c>
      <c r="C16" s="158">
        <v>167723000</v>
      </c>
      <c r="D16" s="158">
        <v>168127000</v>
      </c>
      <c r="E16" s="158">
        <v>167451000</v>
      </c>
      <c r="F16" s="158">
        <v>167276000</v>
      </c>
      <c r="G16" s="158">
        <v>167426000</v>
      </c>
      <c r="H16" s="158">
        <v>167895000</v>
      </c>
      <c r="I16" s="158">
        <v>167982000</v>
      </c>
      <c r="J16" s="158">
        <v>167732000</v>
      </c>
      <c r="K16" s="158">
        <v>168009000</v>
      </c>
      <c r="L16" s="158">
        <v>168429000</v>
      </c>
      <c r="M16" s="158">
        <v>168549000</v>
      </c>
      <c r="N16" s="158">
        <v>168699000</v>
      </c>
      <c r="O16" s="157"/>
      <c r="P16" s="157"/>
      <c r="Q16" s="9" t="s">
        <v>58</v>
      </c>
      <c r="R16" s="28">
        <v>51</v>
      </c>
      <c r="S16" s="110" t="s">
        <v>99</v>
      </c>
      <c r="T16" s="110"/>
      <c r="U16" s="110"/>
      <c r="DF16" s="112"/>
      <c r="DG16" s="112"/>
      <c r="DH16" s="112"/>
      <c r="DI16" s="113"/>
    </row>
    <row r="17" spans="1:115" ht="15" customHeight="1">
      <c r="B17" s="158">
        <v>161550000</v>
      </c>
      <c r="C17" s="158">
        <v>161280000</v>
      </c>
      <c r="D17" s="158">
        <v>161866000</v>
      </c>
      <c r="E17" s="158">
        <v>161183000</v>
      </c>
      <c r="F17" s="158">
        <v>161152000</v>
      </c>
      <c r="G17" s="158">
        <v>160968000</v>
      </c>
      <c r="H17" s="158">
        <v>161466000</v>
      </c>
      <c r="I17" s="158">
        <v>161491000</v>
      </c>
      <c r="J17" s="158">
        <v>161083000</v>
      </c>
      <c r="K17" s="158">
        <v>161199000</v>
      </c>
      <c r="L17" s="158">
        <v>161266000</v>
      </c>
      <c r="M17" s="158">
        <v>161434000</v>
      </c>
      <c r="N17" s="158">
        <v>161864000</v>
      </c>
      <c r="O17" s="172"/>
      <c r="P17" s="157"/>
      <c r="Q17" s="9" t="s">
        <v>59</v>
      </c>
      <c r="R17" s="28">
        <v>56</v>
      </c>
      <c r="S17" s="110" t="s">
        <v>100</v>
      </c>
      <c r="T17" s="110"/>
      <c r="U17" s="110"/>
      <c r="DF17" s="112"/>
      <c r="DG17" s="112"/>
      <c r="DH17" s="112"/>
      <c r="DI17" s="113"/>
    </row>
    <row r="18" spans="1:115" ht="15" customHeight="1">
      <c r="B18" s="158">
        <v>6347000</v>
      </c>
      <c r="C18" s="158">
        <v>6443000</v>
      </c>
      <c r="D18" s="158">
        <v>6262000</v>
      </c>
      <c r="E18" s="158">
        <v>6268000</v>
      </c>
      <c r="F18" s="158">
        <v>6124000</v>
      </c>
      <c r="G18" s="158">
        <v>6458000</v>
      </c>
      <c r="H18" s="158">
        <v>6429000</v>
      </c>
      <c r="I18" s="158">
        <v>6492000</v>
      </c>
      <c r="J18" s="158">
        <v>6649000</v>
      </c>
      <c r="K18" s="158">
        <v>6811000</v>
      </c>
      <c r="L18" s="158">
        <v>7163000</v>
      </c>
      <c r="M18" s="158">
        <v>7115000</v>
      </c>
      <c r="N18" s="158">
        <v>6834000</v>
      </c>
      <c r="O18" s="172"/>
      <c r="P18" s="157"/>
      <c r="Q18" s="9" t="s">
        <v>60</v>
      </c>
      <c r="R18" s="28">
        <v>61</v>
      </c>
      <c r="S18" s="110" t="s">
        <v>101</v>
      </c>
      <c r="T18" s="110"/>
      <c r="U18" s="110"/>
      <c r="DF18" s="112"/>
      <c r="DG18" s="112"/>
      <c r="DH18" s="112"/>
      <c r="DI18" s="113"/>
    </row>
    <row r="19" spans="1:115" ht="15" customHeight="1">
      <c r="B19" s="213">
        <v>3.7999999999999999E-2</v>
      </c>
      <c r="C19" s="213">
        <v>3.7999999999999999E-2</v>
      </c>
      <c r="D19" s="213">
        <v>3.7000000000000005E-2</v>
      </c>
      <c r="E19" s="213">
        <v>3.7000000000000005E-2</v>
      </c>
      <c r="F19" s="213">
        <v>3.6999999999999998E-2</v>
      </c>
      <c r="G19" s="213">
        <v>3.9E-2</v>
      </c>
      <c r="H19" s="213">
        <v>3.7999999999999999E-2</v>
      </c>
      <c r="I19" s="213">
        <v>3.9E-2</v>
      </c>
      <c r="J19" s="213">
        <v>0.04</v>
      </c>
      <c r="K19" s="213">
        <v>4.1000000000000002E-2</v>
      </c>
      <c r="L19" s="213">
        <v>4.2999999999999997E-2</v>
      </c>
      <c r="M19" s="213">
        <v>4.2000000000000003E-2</v>
      </c>
      <c r="N19" s="213">
        <v>4.1000000000000002E-2</v>
      </c>
      <c r="O19" s="172"/>
      <c r="P19" s="170"/>
      <c r="R19" s="28">
        <v>66</v>
      </c>
      <c r="S19" s="110" t="s">
        <v>102</v>
      </c>
      <c r="T19" s="110"/>
      <c r="U19" s="110"/>
      <c r="DF19" s="112"/>
      <c r="DG19" s="112"/>
      <c r="DH19" s="112"/>
      <c r="DI19" s="113"/>
    </row>
    <row r="20" spans="1:115" ht="15" customHeight="1">
      <c r="A20" s="110" t="s">
        <v>388</v>
      </c>
      <c r="B20" s="191"/>
      <c r="C20" s="191"/>
      <c r="D20" s="191"/>
      <c r="E20" s="191"/>
      <c r="F20" s="191"/>
      <c r="G20" s="191"/>
      <c r="H20" s="191"/>
      <c r="I20" s="191"/>
      <c r="J20" s="191"/>
      <c r="K20" s="191"/>
      <c r="L20" s="191"/>
      <c r="M20" s="191"/>
      <c r="N20" s="191"/>
      <c r="Q20" s="109" t="s">
        <v>264</v>
      </c>
      <c r="R20" s="28">
        <v>71</v>
      </c>
      <c r="S20" s="110" t="s">
        <v>344</v>
      </c>
      <c r="T20" s="110"/>
      <c r="U20" s="110"/>
      <c r="DG20" s="112"/>
      <c r="DH20" s="112"/>
      <c r="DI20" s="112"/>
      <c r="DJ20" s="112"/>
      <c r="DK20" s="113"/>
    </row>
    <row r="21" spans="1:115" ht="15" customHeight="1">
      <c r="A21" s="110"/>
      <c r="B21" s="242">
        <v>759870</v>
      </c>
      <c r="C21" s="242">
        <v>760640</v>
      </c>
      <c r="D21" s="242">
        <v>763020</v>
      </c>
      <c r="E21" s="242">
        <v>758540</v>
      </c>
      <c r="F21" s="242">
        <v>764230</v>
      </c>
      <c r="G21" s="242">
        <v>762790</v>
      </c>
      <c r="H21" s="242">
        <v>770850</v>
      </c>
      <c r="I21" s="242">
        <v>767150</v>
      </c>
      <c r="J21" s="242">
        <v>765510</v>
      </c>
      <c r="K21" s="242">
        <v>773620</v>
      </c>
      <c r="L21" s="242">
        <v>777020</v>
      </c>
      <c r="M21" s="242">
        <v>781260</v>
      </c>
      <c r="N21" s="242">
        <v>774510</v>
      </c>
      <c r="Q21" s="109" t="s">
        <v>284</v>
      </c>
      <c r="R21" s="28">
        <v>76</v>
      </c>
      <c r="S21" s="110" t="s">
        <v>103</v>
      </c>
      <c r="T21" s="110"/>
      <c r="U21" s="110"/>
      <c r="DG21" s="112"/>
      <c r="DH21" s="112"/>
      <c r="DI21" s="112"/>
      <c r="DJ21" s="112"/>
      <c r="DK21" s="113"/>
    </row>
    <row r="22" spans="1:115" ht="15" customHeight="1">
      <c r="A22" s="110"/>
      <c r="B22" s="242">
        <v>741710</v>
      </c>
      <c r="C22" s="242">
        <v>743000</v>
      </c>
      <c r="D22" s="242">
        <v>743560</v>
      </c>
      <c r="E22" s="242">
        <v>738750</v>
      </c>
      <c r="F22" s="242">
        <v>744500</v>
      </c>
      <c r="G22" s="242">
        <v>740410</v>
      </c>
      <c r="H22" s="242">
        <v>749190</v>
      </c>
      <c r="I22" s="242">
        <v>748500</v>
      </c>
      <c r="J22" s="242">
        <v>750380</v>
      </c>
      <c r="K22" s="242">
        <v>755060</v>
      </c>
      <c r="L22" s="242">
        <v>754330</v>
      </c>
      <c r="M22" s="242">
        <v>758030</v>
      </c>
      <c r="N22" s="242">
        <v>758710</v>
      </c>
      <c r="Q22" s="109" t="s">
        <v>285</v>
      </c>
      <c r="R22" s="28">
        <v>146</v>
      </c>
      <c r="S22" s="110" t="s">
        <v>361</v>
      </c>
      <c r="T22" s="110"/>
      <c r="U22" s="110"/>
      <c r="DG22" s="112"/>
      <c r="DH22" s="112"/>
      <c r="DI22" s="112"/>
      <c r="DJ22" s="112"/>
      <c r="DK22" s="113"/>
    </row>
    <row r="23" spans="1:115" ht="15" customHeight="1">
      <c r="A23" s="110"/>
      <c r="B23" s="242">
        <v>18160</v>
      </c>
      <c r="C23" s="242">
        <v>17640</v>
      </c>
      <c r="D23" s="242">
        <v>19460</v>
      </c>
      <c r="E23" s="242">
        <v>19790</v>
      </c>
      <c r="F23" s="242">
        <v>19730</v>
      </c>
      <c r="G23" s="242">
        <v>22380</v>
      </c>
      <c r="H23" s="242">
        <v>21660</v>
      </c>
      <c r="I23" s="242">
        <v>18650</v>
      </c>
      <c r="J23" s="242">
        <v>15130</v>
      </c>
      <c r="K23" s="242">
        <v>18560</v>
      </c>
      <c r="L23" s="242">
        <v>22690</v>
      </c>
      <c r="M23" s="242">
        <v>23230</v>
      </c>
      <c r="N23" s="242">
        <v>15800</v>
      </c>
      <c r="Q23" s="109" t="s">
        <v>286</v>
      </c>
      <c r="R23" s="28">
        <v>81</v>
      </c>
      <c r="S23" s="110" t="s">
        <v>104</v>
      </c>
      <c r="T23" s="110"/>
      <c r="U23" s="110"/>
      <c r="DG23" s="112"/>
      <c r="DH23" s="112"/>
      <c r="DI23" s="112"/>
      <c r="DJ23" s="112"/>
      <c r="DK23" s="113"/>
    </row>
    <row r="24" spans="1:115" ht="15" customHeight="1">
      <c r="A24" s="110"/>
      <c r="B24" s="243">
        <v>2.4E-2</v>
      </c>
      <c r="C24" s="243">
        <v>2.3E-2</v>
      </c>
      <c r="D24" s="243">
        <v>2.6000000000000002E-2</v>
      </c>
      <c r="E24" s="243">
        <v>2.6000000000000002E-2</v>
      </c>
      <c r="F24" s="243">
        <v>2.6000000000000002E-2</v>
      </c>
      <c r="G24" s="243">
        <v>2.9000000000000001E-2</v>
      </c>
      <c r="H24" s="243">
        <v>2.7999999999999997E-2</v>
      </c>
      <c r="I24" s="243">
        <v>2.4E-2</v>
      </c>
      <c r="J24" s="243">
        <v>0.02</v>
      </c>
      <c r="K24" s="243">
        <v>2.4E-2</v>
      </c>
      <c r="L24" s="243">
        <v>2.9000000000000001E-2</v>
      </c>
      <c r="M24" s="243">
        <v>0.03</v>
      </c>
      <c r="N24" s="243">
        <v>0.02</v>
      </c>
      <c r="R24" s="28">
        <v>86</v>
      </c>
      <c r="S24" s="110" t="s">
        <v>548</v>
      </c>
      <c r="T24" s="110"/>
      <c r="U24" s="110"/>
      <c r="DG24" s="112"/>
      <c r="DH24" s="112"/>
      <c r="DI24" s="112"/>
      <c r="DJ24" s="112"/>
      <c r="DK24" s="113"/>
    </row>
    <row r="25" spans="1:115" ht="15" customHeight="1">
      <c r="A25" s="110" t="s">
        <v>94</v>
      </c>
      <c r="B25" s="242"/>
      <c r="C25" s="242"/>
      <c r="D25" s="242"/>
      <c r="E25" s="242"/>
      <c r="F25" s="242"/>
      <c r="G25" s="242"/>
      <c r="H25" s="242"/>
      <c r="I25" s="242"/>
      <c r="J25" s="242"/>
      <c r="K25" s="242"/>
      <c r="L25" s="242"/>
      <c r="M25" s="242"/>
      <c r="N25" s="242"/>
      <c r="Q25" s="109" t="s">
        <v>288</v>
      </c>
      <c r="R25" s="28">
        <v>91</v>
      </c>
      <c r="S25" s="110" t="s">
        <v>345</v>
      </c>
      <c r="T25" s="110"/>
      <c r="U25" s="110"/>
      <c r="DG25" s="112"/>
      <c r="DH25" s="112"/>
      <c r="DI25" s="112"/>
      <c r="DJ25" s="112"/>
      <c r="DK25" s="113"/>
    </row>
    <row r="26" spans="1:115" ht="15" customHeight="1">
      <c r="A26" s="110"/>
      <c r="B26" s="242">
        <v>31300</v>
      </c>
      <c r="C26" s="242">
        <v>30880</v>
      </c>
      <c r="D26" s="242">
        <v>30900</v>
      </c>
      <c r="E26" s="242">
        <v>30540</v>
      </c>
      <c r="F26" s="242">
        <v>30480</v>
      </c>
      <c r="G26" s="242">
        <v>30320</v>
      </c>
      <c r="H26" s="242">
        <v>30500</v>
      </c>
      <c r="I26" s="242">
        <v>30460</v>
      </c>
      <c r="J26" s="242">
        <v>30940</v>
      </c>
      <c r="K26" s="242">
        <v>32300</v>
      </c>
      <c r="L26" s="336">
        <v>32760</v>
      </c>
      <c r="M26" s="336">
        <v>32920</v>
      </c>
      <c r="N26" s="336">
        <v>31620</v>
      </c>
      <c r="Q26" s="109" t="s">
        <v>289</v>
      </c>
      <c r="R26" s="28">
        <v>101</v>
      </c>
      <c r="S26" s="110" t="s">
        <v>121</v>
      </c>
      <c r="T26" s="110"/>
      <c r="U26" s="110"/>
      <c r="DG26" s="112"/>
      <c r="DH26" s="112"/>
      <c r="DI26" s="112"/>
      <c r="DJ26" s="112"/>
      <c r="DK26" s="113"/>
    </row>
    <row r="27" spans="1:115" ht="15" customHeight="1">
      <c r="A27" s="110"/>
      <c r="B27" s="242">
        <v>30570</v>
      </c>
      <c r="C27" s="242">
        <v>30190</v>
      </c>
      <c r="D27" s="242">
        <v>30140</v>
      </c>
      <c r="E27" s="242">
        <v>29760</v>
      </c>
      <c r="F27" s="242">
        <v>29730</v>
      </c>
      <c r="G27" s="242">
        <v>29450</v>
      </c>
      <c r="H27" s="242">
        <v>29640</v>
      </c>
      <c r="I27" s="242">
        <v>29740</v>
      </c>
      <c r="J27" s="242">
        <v>30380</v>
      </c>
      <c r="K27" s="242">
        <v>31580</v>
      </c>
      <c r="L27" s="337">
        <v>31890</v>
      </c>
      <c r="M27" s="337">
        <v>31960</v>
      </c>
      <c r="N27" s="337">
        <v>31000</v>
      </c>
      <c r="Q27" s="109" t="s">
        <v>290</v>
      </c>
      <c r="R27" s="28">
        <v>106</v>
      </c>
      <c r="S27" s="110" t="s">
        <v>346</v>
      </c>
      <c r="T27" s="110"/>
      <c r="U27" s="110"/>
      <c r="AA27" s="155"/>
      <c r="AB27" s="155"/>
      <c r="AC27" s="155"/>
      <c r="AD27" s="155"/>
      <c r="AE27" s="155"/>
      <c r="AH27" s="148"/>
      <c r="AI27" s="148"/>
    </row>
    <row r="28" spans="1:115" ht="15" customHeight="1">
      <c r="A28" s="110"/>
      <c r="B28" s="242">
        <v>730</v>
      </c>
      <c r="C28" s="242">
        <v>690</v>
      </c>
      <c r="D28" s="242">
        <v>760</v>
      </c>
      <c r="E28" s="242">
        <v>780</v>
      </c>
      <c r="F28" s="242">
        <v>750</v>
      </c>
      <c r="G28" s="242">
        <v>870</v>
      </c>
      <c r="H28" s="242">
        <v>860</v>
      </c>
      <c r="I28" s="242">
        <v>720</v>
      </c>
      <c r="J28" s="242">
        <v>560</v>
      </c>
      <c r="K28" s="242">
        <v>720</v>
      </c>
      <c r="L28" s="337">
        <v>870</v>
      </c>
      <c r="M28" s="337">
        <v>960</v>
      </c>
      <c r="N28" s="337">
        <v>620</v>
      </c>
      <c r="Q28" s="109" t="s">
        <v>291</v>
      </c>
      <c r="R28" s="28">
        <v>116</v>
      </c>
      <c r="S28" s="110" t="s">
        <v>347</v>
      </c>
      <c r="T28" s="110"/>
      <c r="U28" s="110"/>
      <c r="AA28" s="155"/>
      <c r="AB28" s="155"/>
      <c r="AC28" s="155"/>
      <c r="AD28" s="155"/>
      <c r="AE28" s="155"/>
      <c r="AH28" s="148"/>
      <c r="AI28" s="148"/>
    </row>
    <row r="29" spans="1:115" ht="15" customHeight="1">
      <c r="A29" s="110"/>
      <c r="B29" s="243">
        <v>2.3E-2</v>
      </c>
      <c r="C29" s="243">
        <v>2.2000000000000002E-2</v>
      </c>
      <c r="D29" s="243">
        <v>2.5000000000000001E-2</v>
      </c>
      <c r="E29" s="243">
        <v>2.6000000000000002E-2</v>
      </c>
      <c r="F29" s="243">
        <v>2.5000000000000001E-2</v>
      </c>
      <c r="G29" s="243">
        <v>2.8999999999999998E-2</v>
      </c>
      <c r="H29" s="243">
        <v>2.7999999999999997E-2</v>
      </c>
      <c r="I29" s="243">
        <v>2.4E-2</v>
      </c>
      <c r="J29" s="243">
        <v>1.8000000000000002E-2</v>
      </c>
      <c r="K29" s="243">
        <v>2.2000000000000002E-2</v>
      </c>
      <c r="L29" s="338">
        <v>2.7000000000000003E-2</v>
      </c>
      <c r="M29" s="338">
        <v>2.8999999999999998E-2</v>
      </c>
      <c r="N29" s="338">
        <v>0.02</v>
      </c>
      <c r="Q29" s="109" t="s">
        <v>287</v>
      </c>
      <c r="R29" s="28">
        <v>126</v>
      </c>
      <c r="S29" s="110" t="s">
        <v>549</v>
      </c>
      <c r="T29" s="110"/>
      <c r="U29" s="110"/>
      <c r="AA29" s="156"/>
      <c r="AB29" s="156"/>
      <c r="AC29" s="156"/>
      <c r="AD29" s="156"/>
      <c r="AE29" s="156"/>
      <c r="AF29" s="156"/>
      <c r="AG29" s="156"/>
      <c r="AH29" s="148"/>
      <c r="AI29" s="148"/>
    </row>
    <row r="30" spans="1:115" ht="15" customHeight="1">
      <c r="A30" s="110" t="s">
        <v>95</v>
      </c>
      <c r="B30" s="242"/>
      <c r="C30" s="242"/>
      <c r="D30" s="242"/>
      <c r="E30" s="242"/>
      <c r="F30" s="242"/>
      <c r="G30" s="242"/>
      <c r="H30" s="242"/>
      <c r="I30" s="242"/>
      <c r="J30" s="242"/>
      <c r="K30" s="242"/>
      <c r="L30" s="337"/>
      <c r="M30" s="337"/>
      <c r="N30" s="337"/>
      <c r="Q30" s="109" t="s">
        <v>292</v>
      </c>
      <c r="R30" s="28">
        <v>131</v>
      </c>
      <c r="S30" s="110" t="s">
        <v>348</v>
      </c>
      <c r="T30" s="110"/>
      <c r="U30" s="110"/>
      <c r="AA30" s="155"/>
      <c r="AB30" s="155"/>
      <c r="AC30" s="155"/>
      <c r="AD30" s="155"/>
      <c r="AE30" s="155"/>
      <c r="AF30" s="155"/>
      <c r="AG30" s="155"/>
      <c r="AH30" s="149"/>
      <c r="AI30" s="149"/>
    </row>
    <row r="31" spans="1:115" ht="15" customHeight="1">
      <c r="A31" s="110"/>
      <c r="B31" s="242">
        <v>22860</v>
      </c>
      <c r="C31" s="242">
        <v>22540</v>
      </c>
      <c r="D31" s="242">
        <v>22270</v>
      </c>
      <c r="E31" s="242">
        <v>22520</v>
      </c>
      <c r="F31" s="242">
        <v>22580</v>
      </c>
      <c r="G31" s="242">
        <v>22400</v>
      </c>
      <c r="H31" s="242">
        <v>22480</v>
      </c>
      <c r="I31" s="242">
        <v>21940</v>
      </c>
      <c r="J31" s="242">
        <v>22340</v>
      </c>
      <c r="K31" s="242">
        <v>23630</v>
      </c>
      <c r="L31" s="337">
        <v>24760</v>
      </c>
      <c r="M31" s="337">
        <v>24880</v>
      </c>
      <c r="N31" s="337">
        <v>22980</v>
      </c>
      <c r="Q31" s="109" t="s">
        <v>369</v>
      </c>
      <c r="R31" s="28">
        <v>136</v>
      </c>
      <c r="S31" s="110" t="s">
        <v>105</v>
      </c>
      <c r="T31" s="110"/>
      <c r="U31" s="110"/>
      <c r="AA31" s="155"/>
      <c r="AB31" s="155"/>
      <c r="AC31" s="155"/>
      <c r="AD31" s="155"/>
      <c r="AE31" s="155"/>
      <c r="AF31" s="155"/>
      <c r="AG31" s="155"/>
      <c r="AH31" s="148"/>
      <c r="AI31" s="148"/>
    </row>
    <row r="32" spans="1:115" ht="15" customHeight="1">
      <c r="A32" s="110"/>
      <c r="B32" s="242">
        <v>22270</v>
      </c>
      <c r="C32" s="242">
        <v>21990</v>
      </c>
      <c r="D32" s="242">
        <v>21650</v>
      </c>
      <c r="E32" s="242">
        <v>21860</v>
      </c>
      <c r="F32" s="242">
        <v>21970</v>
      </c>
      <c r="G32" s="242">
        <v>21710</v>
      </c>
      <c r="H32" s="242">
        <v>21830</v>
      </c>
      <c r="I32" s="242">
        <v>21400</v>
      </c>
      <c r="J32" s="242">
        <v>21900</v>
      </c>
      <c r="K32" s="242">
        <v>23090</v>
      </c>
      <c r="L32" s="337">
        <v>24110</v>
      </c>
      <c r="M32" s="337">
        <v>24170</v>
      </c>
      <c r="N32" s="337">
        <v>22510</v>
      </c>
      <c r="Q32" s="109" t="s">
        <v>370</v>
      </c>
      <c r="R32" s="28">
        <v>246</v>
      </c>
      <c r="S32" s="110" t="s">
        <v>360</v>
      </c>
      <c r="T32" s="110"/>
      <c r="U32" s="110"/>
      <c r="AA32" s="155"/>
      <c r="AB32" s="155"/>
      <c r="AC32" s="155"/>
      <c r="AD32" s="155"/>
      <c r="AE32" s="155"/>
      <c r="AF32" s="155"/>
      <c r="AG32" s="155"/>
      <c r="AH32" s="148"/>
      <c r="AI32" s="148"/>
    </row>
    <row r="33" spans="1:35" ht="15" customHeight="1">
      <c r="A33" s="110"/>
      <c r="B33" s="242">
        <v>590</v>
      </c>
      <c r="C33" s="242">
        <v>550</v>
      </c>
      <c r="D33" s="242">
        <v>620</v>
      </c>
      <c r="E33" s="242">
        <v>660</v>
      </c>
      <c r="F33" s="242">
        <v>610</v>
      </c>
      <c r="G33" s="242">
        <v>690</v>
      </c>
      <c r="H33" s="242">
        <v>650</v>
      </c>
      <c r="I33" s="242">
        <v>540</v>
      </c>
      <c r="J33" s="242">
        <v>440</v>
      </c>
      <c r="K33" s="242">
        <v>540</v>
      </c>
      <c r="L33" s="337">
        <v>650</v>
      </c>
      <c r="M33" s="337">
        <v>710</v>
      </c>
      <c r="N33" s="337">
        <v>470</v>
      </c>
      <c r="Q33" s="109" t="s">
        <v>371</v>
      </c>
      <c r="R33" s="28">
        <v>141</v>
      </c>
      <c r="S33" s="110" t="s">
        <v>106</v>
      </c>
      <c r="T33" s="110"/>
      <c r="U33" s="110"/>
      <c r="AA33" s="155"/>
      <c r="AB33" s="155"/>
      <c r="AC33" s="155"/>
      <c r="AD33" s="155"/>
      <c r="AE33" s="155"/>
      <c r="AF33" s="155"/>
      <c r="AG33" s="155"/>
      <c r="AH33" s="148"/>
      <c r="AI33" s="148"/>
    </row>
    <row r="34" spans="1:35" ht="15" customHeight="1">
      <c r="A34" s="110"/>
      <c r="B34" s="243">
        <v>2.6000000000000002E-2</v>
      </c>
      <c r="C34" s="243">
        <v>2.4E-2</v>
      </c>
      <c r="D34" s="243">
        <v>2.7999999999999997E-2</v>
      </c>
      <c r="E34" s="243">
        <v>2.8999999999999998E-2</v>
      </c>
      <c r="F34" s="243">
        <v>2.7000000000000003E-2</v>
      </c>
      <c r="G34" s="243">
        <v>3.1E-2</v>
      </c>
      <c r="H34" s="243">
        <v>2.8999999999999998E-2</v>
      </c>
      <c r="I34" s="243">
        <v>2.4E-2</v>
      </c>
      <c r="J34" s="243">
        <v>0.02</v>
      </c>
      <c r="K34" s="243">
        <v>2.3E-2</v>
      </c>
      <c r="L34" s="338">
        <v>2.6000000000000002E-2</v>
      </c>
      <c r="M34" s="338">
        <v>2.8999999999999998E-2</v>
      </c>
      <c r="N34" s="338">
        <v>0.02</v>
      </c>
      <c r="Q34" s="109" t="s">
        <v>372</v>
      </c>
      <c r="R34" s="28">
        <v>151</v>
      </c>
      <c r="S34" s="110" t="s">
        <v>107</v>
      </c>
      <c r="T34" s="110"/>
      <c r="U34" s="110"/>
      <c r="AA34" s="156"/>
      <c r="AB34" s="156"/>
      <c r="AC34" s="156"/>
      <c r="AD34" s="156"/>
      <c r="AE34" s="156"/>
      <c r="AF34" s="156"/>
      <c r="AG34" s="156"/>
      <c r="AH34" s="148"/>
      <c r="AI34" s="148"/>
    </row>
    <row r="35" spans="1:35" ht="15" customHeight="1">
      <c r="A35" s="110" t="s">
        <v>96</v>
      </c>
      <c r="B35" s="242"/>
      <c r="C35" s="242"/>
      <c r="D35" s="242"/>
      <c r="E35" s="242"/>
      <c r="F35" s="242"/>
      <c r="G35" s="242"/>
      <c r="H35" s="242"/>
      <c r="I35" s="242"/>
      <c r="J35" s="242"/>
      <c r="K35" s="242"/>
      <c r="L35" s="337"/>
      <c r="M35" s="337"/>
      <c r="N35" s="337"/>
      <c r="Q35" s="109" t="s">
        <v>373</v>
      </c>
      <c r="R35" s="28">
        <v>156</v>
      </c>
      <c r="S35" s="110" t="s">
        <v>108</v>
      </c>
      <c r="T35" s="110"/>
      <c r="U35" s="110"/>
      <c r="AA35" s="155"/>
      <c r="AB35" s="155"/>
      <c r="AC35" s="155"/>
      <c r="AD35" s="155"/>
      <c r="AE35" s="155"/>
      <c r="AF35" s="155"/>
      <c r="AG35" s="155"/>
      <c r="AH35" s="149"/>
      <c r="AI35" s="149"/>
    </row>
    <row r="36" spans="1:35" ht="15" customHeight="1">
      <c r="A36" s="110"/>
      <c r="B36" s="242">
        <v>38740</v>
      </c>
      <c r="C36" s="242">
        <v>38790</v>
      </c>
      <c r="D36" s="242">
        <v>39140</v>
      </c>
      <c r="E36" s="242">
        <v>39020</v>
      </c>
      <c r="F36" s="242">
        <v>39120</v>
      </c>
      <c r="G36" s="242">
        <v>38640</v>
      </c>
      <c r="H36" s="242">
        <v>39550</v>
      </c>
      <c r="I36" s="242">
        <v>39560</v>
      </c>
      <c r="J36" s="242">
        <v>39240</v>
      </c>
      <c r="K36" s="242">
        <v>39440</v>
      </c>
      <c r="L36" s="337">
        <v>38990</v>
      </c>
      <c r="M36" s="337">
        <v>39000</v>
      </c>
      <c r="N36" s="337">
        <v>38660</v>
      </c>
      <c r="Q36" s="109" t="s">
        <v>374</v>
      </c>
      <c r="R36" s="28">
        <v>241</v>
      </c>
      <c r="S36" s="110" t="s">
        <v>359</v>
      </c>
      <c r="T36" s="110"/>
      <c r="U36" s="110"/>
      <c r="AA36" s="155"/>
      <c r="AB36" s="155"/>
      <c r="AC36" s="155"/>
      <c r="AD36" s="155"/>
      <c r="AE36" s="155"/>
      <c r="AF36" s="155"/>
      <c r="AG36" s="155"/>
      <c r="AH36" s="148"/>
      <c r="AI36" s="148"/>
    </row>
    <row r="37" spans="1:35" ht="15" customHeight="1">
      <c r="A37" s="110"/>
      <c r="B37" s="242">
        <v>37740</v>
      </c>
      <c r="C37" s="242">
        <v>37830</v>
      </c>
      <c r="D37" s="242">
        <v>38140</v>
      </c>
      <c r="E37" s="242">
        <v>37980</v>
      </c>
      <c r="F37" s="242">
        <v>38080</v>
      </c>
      <c r="G37" s="242">
        <v>37480</v>
      </c>
      <c r="H37" s="242">
        <v>38470</v>
      </c>
      <c r="I37" s="242">
        <v>38620</v>
      </c>
      <c r="J37" s="242">
        <v>38490</v>
      </c>
      <c r="K37" s="242">
        <v>38450</v>
      </c>
      <c r="L37" s="337">
        <v>37750</v>
      </c>
      <c r="M37" s="337">
        <v>37750</v>
      </c>
      <c r="N37" s="337">
        <v>37840</v>
      </c>
      <c r="Q37" s="109" t="s">
        <v>375</v>
      </c>
      <c r="R37" s="28">
        <v>161</v>
      </c>
      <c r="S37" s="110" t="s">
        <v>349</v>
      </c>
      <c r="T37" s="110"/>
      <c r="U37" s="110"/>
      <c r="AA37" s="155"/>
      <c r="AB37" s="155"/>
      <c r="AC37" s="155"/>
      <c r="AD37" s="155"/>
      <c r="AE37" s="155"/>
      <c r="AF37" s="155"/>
      <c r="AG37" s="155"/>
      <c r="AH37" s="148"/>
      <c r="AI37" s="148"/>
    </row>
    <row r="38" spans="1:35" ht="15" customHeight="1">
      <c r="A38" s="110"/>
      <c r="B38" s="242">
        <v>1000</v>
      </c>
      <c r="C38" s="242">
        <v>960</v>
      </c>
      <c r="D38" s="242">
        <v>1000</v>
      </c>
      <c r="E38" s="242">
        <v>1040</v>
      </c>
      <c r="F38" s="242">
        <v>1040</v>
      </c>
      <c r="G38" s="242">
        <v>1160</v>
      </c>
      <c r="H38" s="242">
        <v>1080</v>
      </c>
      <c r="I38" s="242">
        <v>940</v>
      </c>
      <c r="J38" s="242">
        <v>750</v>
      </c>
      <c r="K38" s="242">
        <v>990</v>
      </c>
      <c r="L38" s="337">
        <v>1240</v>
      </c>
      <c r="M38" s="337">
        <v>1250</v>
      </c>
      <c r="N38" s="337">
        <v>820</v>
      </c>
      <c r="Q38" s="109" t="s">
        <v>308</v>
      </c>
      <c r="R38" s="28">
        <v>171</v>
      </c>
      <c r="S38" s="110" t="s">
        <v>350</v>
      </c>
      <c r="T38" s="110"/>
      <c r="U38" s="110"/>
      <c r="AA38" s="155"/>
      <c r="AB38" s="155"/>
      <c r="AC38" s="155"/>
      <c r="AD38" s="155"/>
      <c r="AE38" s="155"/>
      <c r="AF38" s="155"/>
      <c r="AG38" s="155"/>
      <c r="AH38" s="148"/>
      <c r="AI38" s="148"/>
    </row>
    <row r="39" spans="1:35" ht="15" customHeight="1">
      <c r="A39" s="110"/>
      <c r="B39" s="243">
        <v>2.6000000000000002E-2</v>
      </c>
      <c r="C39" s="243">
        <v>2.5000000000000001E-2</v>
      </c>
      <c r="D39" s="243">
        <v>2.5000000000000001E-2</v>
      </c>
      <c r="E39" s="243">
        <v>2.7000000000000003E-2</v>
      </c>
      <c r="F39" s="243">
        <v>2.7000000000000003E-2</v>
      </c>
      <c r="G39" s="243">
        <v>0.03</v>
      </c>
      <c r="H39" s="243">
        <v>2.7000000000000003E-2</v>
      </c>
      <c r="I39" s="243">
        <v>2.4E-2</v>
      </c>
      <c r="J39" s="243">
        <v>1.9E-2</v>
      </c>
      <c r="K39" s="243">
        <v>2.5000000000000001E-2</v>
      </c>
      <c r="L39" s="338">
        <v>3.2000000000000001E-2</v>
      </c>
      <c r="M39" s="338">
        <v>3.2000000000000001E-2</v>
      </c>
      <c r="N39" s="338">
        <v>2.1000000000000001E-2</v>
      </c>
      <c r="Q39" s="109" t="s">
        <v>376</v>
      </c>
      <c r="R39" s="28">
        <v>211</v>
      </c>
      <c r="S39" s="110" t="s">
        <v>358</v>
      </c>
      <c r="T39" s="110"/>
      <c r="U39" s="110"/>
      <c r="AA39" s="156"/>
      <c r="AB39" s="156"/>
      <c r="AC39" s="156"/>
      <c r="AD39" s="156"/>
      <c r="AE39" s="156"/>
      <c r="AF39" s="156"/>
      <c r="AG39" s="156"/>
      <c r="AH39" s="148"/>
      <c r="AI39" s="148"/>
    </row>
    <row r="40" spans="1:35" ht="15" customHeight="1">
      <c r="A40" s="110" t="s">
        <v>343</v>
      </c>
      <c r="B40" s="242"/>
      <c r="C40" s="242"/>
      <c r="D40" s="242"/>
      <c r="E40" s="242"/>
      <c r="F40" s="242"/>
      <c r="G40" s="242"/>
      <c r="H40" s="242"/>
      <c r="I40" s="242"/>
      <c r="J40" s="242"/>
      <c r="K40" s="242"/>
      <c r="L40" s="337"/>
      <c r="M40" s="337"/>
      <c r="N40" s="337"/>
      <c r="Q40" s="109" t="s">
        <v>377</v>
      </c>
      <c r="R40" s="28">
        <v>181</v>
      </c>
      <c r="S40" s="110" t="s">
        <v>109</v>
      </c>
      <c r="T40" s="110"/>
      <c r="U40" s="110"/>
      <c r="AA40" s="155"/>
      <c r="AB40" s="155"/>
      <c r="AC40" s="155"/>
      <c r="AD40" s="155"/>
      <c r="AE40" s="155"/>
      <c r="AF40" s="155"/>
      <c r="AG40" s="155"/>
      <c r="AH40" s="149"/>
      <c r="AI40" s="149"/>
    </row>
    <row r="41" spans="1:35" ht="15" customHeight="1">
      <c r="A41" s="110"/>
      <c r="B41" s="242">
        <v>14480</v>
      </c>
      <c r="C41" s="242">
        <v>14450</v>
      </c>
      <c r="D41" s="242">
        <v>14210</v>
      </c>
      <c r="E41" s="242">
        <v>14410</v>
      </c>
      <c r="F41" s="242">
        <v>14380</v>
      </c>
      <c r="G41" s="242">
        <v>14090</v>
      </c>
      <c r="H41" s="242">
        <v>14430</v>
      </c>
      <c r="I41" s="242">
        <v>14130</v>
      </c>
      <c r="J41" s="242">
        <v>14260</v>
      </c>
      <c r="K41" s="242">
        <v>14740</v>
      </c>
      <c r="L41" s="337">
        <v>14690</v>
      </c>
      <c r="M41" s="337">
        <v>14860</v>
      </c>
      <c r="N41" s="337">
        <v>14710</v>
      </c>
      <c r="Q41" s="109" t="s">
        <v>378</v>
      </c>
      <c r="R41" s="28">
        <v>186</v>
      </c>
      <c r="S41" s="110" t="s">
        <v>351</v>
      </c>
      <c r="T41" s="110"/>
      <c r="U41" s="110"/>
      <c r="AA41" s="155"/>
      <c r="AB41" s="155"/>
      <c r="AC41" s="155"/>
      <c r="AD41" s="155"/>
      <c r="AE41" s="155"/>
      <c r="AF41" s="155"/>
      <c r="AG41" s="155"/>
      <c r="AH41" s="148"/>
      <c r="AI41" s="148"/>
    </row>
    <row r="42" spans="1:35" ht="15" customHeight="1">
      <c r="A42" s="110"/>
      <c r="B42" s="242">
        <v>14110</v>
      </c>
      <c r="C42" s="242">
        <v>14070</v>
      </c>
      <c r="D42" s="242">
        <v>13810</v>
      </c>
      <c r="E42" s="242">
        <v>13950</v>
      </c>
      <c r="F42" s="242">
        <v>13930</v>
      </c>
      <c r="G42" s="242">
        <v>13600</v>
      </c>
      <c r="H42" s="242">
        <v>13940</v>
      </c>
      <c r="I42" s="242">
        <v>13720</v>
      </c>
      <c r="J42" s="242">
        <v>13940</v>
      </c>
      <c r="K42" s="242">
        <v>14390</v>
      </c>
      <c r="L42" s="337">
        <v>14260</v>
      </c>
      <c r="M42" s="337">
        <v>14400</v>
      </c>
      <c r="N42" s="337">
        <v>14420</v>
      </c>
      <c r="Q42" s="109" t="s">
        <v>379</v>
      </c>
      <c r="R42" s="28">
        <v>191</v>
      </c>
      <c r="S42" s="110" t="s">
        <v>352</v>
      </c>
      <c r="T42" s="110"/>
      <c r="U42" s="110"/>
      <c r="AA42" s="155"/>
      <c r="AB42" s="155"/>
      <c r="AC42" s="155"/>
      <c r="AD42" s="155"/>
      <c r="AE42" s="155"/>
      <c r="AF42" s="155"/>
      <c r="AG42" s="155"/>
      <c r="AH42" s="148"/>
      <c r="AI42" s="148"/>
    </row>
    <row r="43" spans="1:35" ht="15" customHeight="1">
      <c r="A43" s="110"/>
      <c r="B43" s="242">
        <v>370</v>
      </c>
      <c r="C43" s="242">
        <v>380</v>
      </c>
      <c r="D43" s="242">
        <v>400</v>
      </c>
      <c r="E43" s="242">
        <v>460</v>
      </c>
      <c r="F43" s="242">
        <v>450</v>
      </c>
      <c r="G43" s="242">
        <v>490</v>
      </c>
      <c r="H43" s="242">
        <v>490</v>
      </c>
      <c r="I43" s="242">
        <v>410</v>
      </c>
      <c r="J43" s="242">
        <v>320</v>
      </c>
      <c r="K43" s="242">
        <v>350</v>
      </c>
      <c r="L43" s="337">
        <v>430</v>
      </c>
      <c r="M43" s="337">
        <v>460</v>
      </c>
      <c r="N43" s="337">
        <v>290</v>
      </c>
      <c r="Q43" s="109" t="s">
        <v>380</v>
      </c>
      <c r="R43" s="28">
        <v>201</v>
      </c>
      <c r="S43" s="110" t="s">
        <v>110</v>
      </c>
      <c r="T43" s="110"/>
      <c r="U43" s="110"/>
      <c r="AA43" s="155"/>
      <c r="AB43" s="155"/>
      <c r="AC43" s="155"/>
      <c r="AD43" s="155"/>
      <c r="AE43" s="155"/>
      <c r="AF43" s="155"/>
      <c r="AG43" s="155"/>
      <c r="AH43" s="148"/>
      <c r="AI43" s="148"/>
    </row>
    <row r="44" spans="1:35" ht="15" customHeight="1">
      <c r="A44" s="110"/>
      <c r="B44" s="243">
        <v>2.5000000000000001E-2</v>
      </c>
      <c r="C44" s="243">
        <v>2.6000000000000002E-2</v>
      </c>
      <c r="D44" s="243">
        <v>2.7999999999999997E-2</v>
      </c>
      <c r="E44" s="243">
        <v>3.2000000000000001E-2</v>
      </c>
      <c r="F44" s="243">
        <v>3.1E-2</v>
      </c>
      <c r="G44" s="243">
        <v>3.5000000000000003E-2</v>
      </c>
      <c r="H44" s="243">
        <v>3.4000000000000002E-2</v>
      </c>
      <c r="I44" s="243">
        <v>2.8999999999999998E-2</v>
      </c>
      <c r="J44" s="243">
        <v>2.2000000000000002E-2</v>
      </c>
      <c r="K44" s="243">
        <v>2.4E-2</v>
      </c>
      <c r="L44" s="338">
        <v>2.8999999999999998E-2</v>
      </c>
      <c r="M44" s="338">
        <v>3.1E-2</v>
      </c>
      <c r="N44" s="338">
        <v>0.02</v>
      </c>
      <c r="Q44" s="109"/>
      <c r="R44" s="28">
        <v>206</v>
      </c>
      <c r="S44" s="110" t="s">
        <v>550</v>
      </c>
      <c r="T44" s="110"/>
      <c r="U44" s="110"/>
      <c r="AA44" s="156"/>
      <c r="AB44" s="156"/>
      <c r="AC44" s="156"/>
      <c r="AD44" s="156"/>
      <c r="AE44" s="156"/>
      <c r="AF44" s="156"/>
      <c r="AG44" s="156"/>
      <c r="AH44" s="148"/>
      <c r="AI44" s="148"/>
    </row>
    <row r="45" spans="1:35" ht="15" customHeight="1">
      <c r="A45" s="110" t="s">
        <v>97</v>
      </c>
      <c r="B45" s="242"/>
      <c r="C45" s="242"/>
      <c r="D45" s="242"/>
      <c r="E45" s="242"/>
      <c r="F45" s="242"/>
      <c r="G45" s="242"/>
      <c r="H45" s="242"/>
      <c r="I45" s="242"/>
      <c r="J45" s="242"/>
      <c r="K45" s="242"/>
      <c r="L45" s="337"/>
      <c r="M45" s="337"/>
      <c r="N45" s="337"/>
      <c r="Q45" s="109" t="s">
        <v>381</v>
      </c>
      <c r="R45" s="28">
        <v>216</v>
      </c>
      <c r="S45" s="110" t="s">
        <v>111</v>
      </c>
      <c r="T45" s="110"/>
      <c r="U45" s="110"/>
      <c r="AA45" s="155"/>
      <c r="AB45" s="155"/>
      <c r="AC45" s="155"/>
      <c r="AD45" s="155"/>
      <c r="AE45" s="155"/>
      <c r="AF45" s="155"/>
      <c r="AG45" s="155"/>
      <c r="AH45" s="149"/>
      <c r="AI45" s="149"/>
    </row>
    <row r="46" spans="1:35" ht="15" customHeight="1">
      <c r="A46" s="110"/>
      <c r="B46" s="242">
        <v>48710</v>
      </c>
      <c r="C46" s="242">
        <v>48400</v>
      </c>
      <c r="D46" s="242">
        <v>48240</v>
      </c>
      <c r="E46" s="242">
        <v>48650</v>
      </c>
      <c r="F46" s="242">
        <v>48850</v>
      </c>
      <c r="G46" s="242">
        <v>48050</v>
      </c>
      <c r="H46" s="242">
        <v>49630</v>
      </c>
      <c r="I46" s="242">
        <v>48520</v>
      </c>
      <c r="J46" s="242">
        <v>48570</v>
      </c>
      <c r="K46" s="242">
        <v>49990</v>
      </c>
      <c r="L46" s="337">
        <v>50130</v>
      </c>
      <c r="M46" s="337">
        <v>50490</v>
      </c>
      <c r="N46" s="337">
        <v>49290</v>
      </c>
      <c r="Q46" s="109" t="s">
        <v>382</v>
      </c>
      <c r="R46" s="28">
        <v>221</v>
      </c>
      <c r="S46" s="110" t="s">
        <v>112</v>
      </c>
      <c r="T46" s="110"/>
      <c r="U46" s="110"/>
      <c r="AA46" s="155"/>
      <c r="AB46" s="155"/>
      <c r="AC46" s="155"/>
      <c r="AD46" s="155"/>
      <c r="AE46" s="155"/>
      <c r="AF46" s="155"/>
      <c r="AG46" s="155"/>
      <c r="AH46" s="148"/>
      <c r="AI46" s="148"/>
    </row>
    <row r="47" spans="1:35" ht="15" customHeight="1">
      <c r="A47" s="110"/>
      <c r="B47" s="242">
        <v>47580</v>
      </c>
      <c r="C47" s="242">
        <v>47390</v>
      </c>
      <c r="D47" s="242">
        <v>47190</v>
      </c>
      <c r="E47" s="242">
        <v>47600</v>
      </c>
      <c r="F47" s="242">
        <v>47840</v>
      </c>
      <c r="G47" s="242">
        <v>46980</v>
      </c>
      <c r="H47" s="242">
        <v>48530</v>
      </c>
      <c r="I47" s="242">
        <v>47550</v>
      </c>
      <c r="J47" s="242">
        <v>47770</v>
      </c>
      <c r="K47" s="242">
        <v>48900</v>
      </c>
      <c r="L47" s="337">
        <v>48760</v>
      </c>
      <c r="M47" s="337">
        <v>49100</v>
      </c>
      <c r="N47" s="337">
        <v>48380</v>
      </c>
      <c r="Q47" s="109" t="s">
        <v>383</v>
      </c>
      <c r="R47" s="28">
        <v>226</v>
      </c>
      <c r="S47" s="110" t="s">
        <v>353</v>
      </c>
      <c r="T47" s="110"/>
      <c r="U47" s="110"/>
      <c r="AA47" s="155"/>
      <c r="AB47" s="155"/>
      <c r="AC47" s="155"/>
      <c r="AD47" s="155"/>
      <c r="AE47" s="155"/>
      <c r="AF47" s="155"/>
      <c r="AG47" s="155"/>
      <c r="AH47" s="148"/>
      <c r="AI47" s="148"/>
    </row>
    <row r="48" spans="1:35" ht="15" customHeight="1">
      <c r="A48" s="110"/>
      <c r="B48" s="242">
        <v>1130</v>
      </c>
      <c r="C48" s="242">
        <v>1010</v>
      </c>
      <c r="D48" s="242">
        <v>1050</v>
      </c>
      <c r="E48" s="242">
        <v>1050</v>
      </c>
      <c r="F48" s="242">
        <v>1010</v>
      </c>
      <c r="G48" s="242">
        <v>1070</v>
      </c>
      <c r="H48" s="242">
        <v>1100</v>
      </c>
      <c r="I48" s="242">
        <v>970</v>
      </c>
      <c r="J48" s="242">
        <v>800</v>
      </c>
      <c r="K48" s="242">
        <v>1090</v>
      </c>
      <c r="L48" s="337">
        <v>1370</v>
      </c>
      <c r="M48" s="337">
        <v>1390</v>
      </c>
      <c r="N48" s="337">
        <v>910</v>
      </c>
      <c r="Q48" s="109" t="s">
        <v>384</v>
      </c>
      <c r="R48" s="28">
        <v>236</v>
      </c>
      <c r="S48" s="110" t="s">
        <v>354</v>
      </c>
      <c r="T48" s="110"/>
      <c r="U48" s="110"/>
      <c r="AA48" s="155"/>
      <c r="AB48" s="155"/>
      <c r="AC48" s="155"/>
      <c r="AD48" s="155"/>
      <c r="AE48" s="155"/>
      <c r="AF48" s="155"/>
      <c r="AG48" s="155"/>
      <c r="AH48" s="148"/>
      <c r="AI48" s="148"/>
    </row>
    <row r="49" spans="1:35" ht="15" customHeight="1">
      <c r="A49" s="110"/>
      <c r="B49" s="243">
        <v>2.3E-2</v>
      </c>
      <c r="C49" s="243">
        <v>2.1000000000000001E-2</v>
      </c>
      <c r="D49" s="243">
        <v>2.2000000000000002E-2</v>
      </c>
      <c r="E49" s="243">
        <v>2.2000000000000002E-2</v>
      </c>
      <c r="F49" s="243">
        <v>2.1000000000000001E-2</v>
      </c>
      <c r="G49" s="243">
        <v>2.2000000000000002E-2</v>
      </c>
      <c r="H49" s="243">
        <v>2.2000000000000002E-2</v>
      </c>
      <c r="I49" s="243">
        <v>0.02</v>
      </c>
      <c r="J49" s="243">
        <v>1.6E-2</v>
      </c>
      <c r="K49" s="243">
        <v>2.2000000000000002E-2</v>
      </c>
      <c r="L49" s="338">
        <v>2.7000000000000003E-2</v>
      </c>
      <c r="M49" s="338">
        <v>2.7999999999999997E-2</v>
      </c>
      <c r="N49" s="338">
        <v>1.8000000000000002E-2</v>
      </c>
      <c r="Q49" s="109" t="s">
        <v>385</v>
      </c>
      <c r="R49" s="28">
        <v>251</v>
      </c>
      <c r="S49" s="110" t="s">
        <v>113</v>
      </c>
      <c r="T49" s="110"/>
      <c r="U49" s="110"/>
      <c r="AA49" s="156"/>
      <c r="AB49" s="156"/>
      <c r="AC49" s="156"/>
      <c r="AD49" s="156"/>
      <c r="AE49" s="156"/>
      <c r="AF49" s="156"/>
      <c r="AG49" s="156"/>
      <c r="AH49" s="148"/>
      <c r="AI49" s="148"/>
    </row>
    <row r="50" spans="1:35" ht="15" customHeight="1">
      <c r="A50" s="110" t="s">
        <v>98</v>
      </c>
      <c r="B50" s="242"/>
      <c r="C50" s="242"/>
      <c r="D50" s="242"/>
      <c r="E50" s="242"/>
      <c r="F50" s="242"/>
      <c r="G50" s="242"/>
      <c r="H50" s="242"/>
      <c r="I50" s="242"/>
      <c r="J50" s="242"/>
      <c r="K50" s="242"/>
      <c r="L50" s="337"/>
      <c r="M50" s="337"/>
      <c r="N50" s="337"/>
      <c r="Q50" s="115" t="s">
        <v>3</v>
      </c>
      <c r="R50" s="28">
        <v>261</v>
      </c>
      <c r="S50" s="110" t="s">
        <v>363</v>
      </c>
      <c r="T50" s="110"/>
      <c r="U50" s="110"/>
      <c r="AA50" s="155"/>
      <c r="AB50" s="155"/>
      <c r="AC50" s="155"/>
      <c r="AD50" s="155"/>
      <c r="AE50" s="155"/>
      <c r="AF50" s="155"/>
      <c r="AG50" s="155"/>
      <c r="AH50" s="149"/>
      <c r="AI50" s="149"/>
    </row>
    <row r="51" spans="1:35" ht="15" customHeight="1">
      <c r="A51" s="110"/>
      <c r="B51" s="242">
        <v>238690</v>
      </c>
      <c r="C51" s="242">
        <v>239570</v>
      </c>
      <c r="D51" s="242">
        <v>240950</v>
      </c>
      <c r="E51" s="242">
        <v>239220</v>
      </c>
      <c r="F51" s="242">
        <v>242030</v>
      </c>
      <c r="G51" s="242">
        <v>242340</v>
      </c>
      <c r="H51" s="242">
        <v>243990</v>
      </c>
      <c r="I51" s="242">
        <v>243160</v>
      </c>
      <c r="J51" s="242">
        <v>242090</v>
      </c>
      <c r="K51" s="242">
        <v>242250</v>
      </c>
      <c r="L51" s="337">
        <v>243100</v>
      </c>
      <c r="M51" s="337">
        <v>244340</v>
      </c>
      <c r="N51" s="337">
        <v>244620</v>
      </c>
      <c r="Q51" s="115" t="s">
        <v>4</v>
      </c>
      <c r="R51" s="28">
        <v>266</v>
      </c>
      <c r="S51" s="110" t="s">
        <v>114</v>
      </c>
      <c r="T51" s="110"/>
      <c r="U51" s="110"/>
      <c r="AA51" s="155"/>
      <c r="AB51" s="155"/>
      <c r="AC51" s="155"/>
      <c r="AD51" s="155"/>
      <c r="AE51" s="155"/>
      <c r="AF51" s="155"/>
      <c r="AG51" s="155"/>
      <c r="AH51" s="148"/>
      <c r="AI51" s="148"/>
    </row>
    <row r="52" spans="1:35" ht="15" customHeight="1">
      <c r="A52" s="110"/>
      <c r="B52" s="242">
        <v>232890</v>
      </c>
      <c r="C52" s="242">
        <v>233780</v>
      </c>
      <c r="D52" s="242">
        <v>234380</v>
      </c>
      <c r="E52" s="242">
        <v>232580</v>
      </c>
      <c r="F52" s="242">
        <v>235340</v>
      </c>
      <c r="G52" s="242">
        <v>234670</v>
      </c>
      <c r="H52" s="242">
        <v>236560</v>
      </c>
      <c r="I52" s="242">
        <v>236780</v>
      </c>
      <c r="J52" s="242">
        <v>236900</v>
      </c>
      <c r="K52" s="242">
        <v>236120</v>
      </c>
      <c r="L52" s="337">
        <v>235620</v>
      </c>
      <c r="M52" s="337">
        <v>236780</v>
      </c>
      <c r="N52" s="337">
        <v>239370</v>
      </c>
      <c r="Q52" s="115" t="s">
        <v>5</v>
      </c>
      <c r="R52" s="28">
        <v>271</v>
      </c>
      <c r="S52" s="110" t="s">
        <v>115</v>
      </c>
      <c r="T52" s="110"/>
      <c r="U52" s="110"/>
      <c r="AA52" s="155"/>
      <c r="AB52" s="155"/>
      <c r="AC52" s="155"/>
      <c r="AD52" s="155"/>
      <c r="AE52" s="155"/>
      <c r="AF52" s="155"/>
      <c r="AG52" s="155"/>
      <c r="AH52" s="148"/>
      <c r="AI52" s="148"/>
    </row>
    <row r="53" spans="1:35" ht="15" customHeight="1">
      <c r="A53" s="110"/>
      <c r="B53" s="242">
        <v>5800</v>
      </c>
      <c r="C53" s="242">
        <v>5790</v>
      </c>
      <c r="D53" s="242">
        <v>6570</v>
      </c>
      <c r="E53" s="242">
        <v>6640</v>
      </c>
      <c r="F53" s="242">
        <v>6690</v>
      </c>
      <c r="G53" s="242">
        <v>7670</v>
      </c>
      <c r="H53" s="242">
        <v>7430</v>
      </c>
      <c r="I53" s="242">
        <v>6380</v>
      </c>
      <c r="J53" s="242">
        <v>5190</v>
      </c>
      <c r="K53" s="242">
        <v>6130</v>
      </c>
      <c r="L53" s="337">
        <v>7480</v>
      </c>
      <c r="M53" s="337">
        <v>7560</v>
      </c>
      <c r="N53" s="337">
        <v>5250</v>
      </c>
      <c r="Q53" s="115" t="s">
        <v>364</v>
      </c>
      <c r="R53" s="28">
        <v>121</v>
      </c>
      <c r="S53" s="110" t="s">
        <v>356</v>
      </c>
      <c r="T53" s="110"/>
      <c r="U53" s="110"/>
      <c r="AA53" s="155"/>
      <c r="AB53" s="155"/>
      <c r="AC53" s="155"/>
      <c r="AD53" s="155"/>
      <c r="AE53" s="155"/>
      <c r="AF53" s="155"/>
      <c r="AG53" s="155"/>
      <c r="AH53" s="148"/>
      <c r="AI53" s="148"/>
    </row>
    <row r="54" spans="1:35" ht="15" customHeight="1">
      <c r="A54" s="110"/>
      <c r="B54" s="243">
        <v>2.4E-2</v>
      </c>
      <c r="C54" s="243">
        <v>2.4E-2</v>
      </c>
      <c r="D54" s="243">
        <v>2.7000000000000003E-2</v>
      </c>
      <c r="E54" s="243">
        <v>2.7999999999999997E-2</v>
      </c>
      <c r="F54" s="243">
        <v>2.7999999999999997E-2</v>
      </c>
      <c r="G54" s="243">
        <v>3.2000000000000001E-2</v>
      </c>
      <c r="H54" s="243">
        <v>0.03</v>
      </c>
      <c r="I54" s="243">
        <v>2.6000000000000002E-2</v>
      </c>
      <c r="J54" s="243">
        <v>2.1000000000000001E-2</v>
      </c>
      <c r="K54" s="243">
        <v>2.5000000000000001E-2</v>
      </c>
      <c r="L54" s="338">
        <v>3.1E-2</v>
      </c>
      <c r="M54" s="338">
        <v>3.1E-2</v>
      </c>
      <c r="N54" s="338">
        <v>2.1000000000000001E-2</v>
      </c>
      <c r="Q54" s="115" t="s">
        <v>1</v>
      </c>
      <c r="R54" s="28">
        <v>166</v>
      </c>
      <c r="S54" s="110" t="s">
        <v>357</v>
      </c>
      <c r="T54" s="110"/>
      <c r="U54" s="110"/>
      <c r="AA54" s="156"/>
      <c r="AB54" s="156"/>
      <c r="AC54" s="156"/>
      <c r="AD54" s="156"/>
      <c r="AE54" s="156"/>
      <c r="AF54" s="156"/>
      <c r="AG54" s="156"/>
      <c r="AH54" s="148"/>
      <c r="AI54" s="148"/>
    </row>
    <row r="55" spans="1:35" ht="15" customHeight="1">
      <c r="A55" s="110" t="s">
        <v>99</v>
      </c>
      <c r="B55" s="242"/>
      <c r="C55" s="242"/>
      <c r="D55" s="242"/>
      <c r="E55" s="242"/>
      <c r="F55" s="242"/>
      <c r="G55" s="242"/>
      <c r="H55" s="242"/>
      <c r="I55" s="242"/>
      <c r="J55" s="242"/>
      <c r="K55" s="242"/>
      <c r="L55" s="337"/>
      <c r="M55" s="337"/>
      <c r="N55" s="337"/>
      <c r="Q55" s="115" t="s">
        <v>2</v>
      </c>
      <c r="R55" s="28">
        <v>196</v>
      </c>
      <c r="S55" s="110" t="s">
        <v>116</v>
      </c>
      <c r="T55" s="110"/>
      <c r="U55" s="110"/>
      <c r="AA55" s="155"/>
      <c r="AB55" s="155"/>
      <c r="AC55" s="155"/>
      <c r="AD55" s="155"/>
      <c r="AE55" s="155"/>
      <c r="AF55" s="155"/>
      <c r="AG55" s="155"/>
      <c r="AH55" s="149"/>
      <c r="AI55" s="149"/>
    </row>
    <row r="56" spans="1:35" ht="15" customHeight="1">
      <c r="A56" s="110"/>
      <c r="B56" s="242">
        <v>82050</v>
      </c>
      <c r="C56" s="242">
        <v>82360</v>
      </c>
      <c r="D56" s="242">
        <v>82860</v>
      </c>
      <c r="E56" s="242">
        <v>82450</v>
      </c>
      <c r="F56" s="242">
        <v>83040</v>
      </c>
      <c r="G56" s="242">
        <v>82470</v>
      </c>
      <c r="H56" s="242">
        <v>83670</v>
      </c>
      <c r="I56" s="242">
        <v>83350</v>
      </c>
      <c r="J56" s="242">
        <v>83020</v>
      </c>
      <c r="K56" s="242">
        <v>84090</v>
      </c>
      <c r="L56" s="337">
        <v>83960</v>
      </c>
      <c r="M56" s="337">
        <v>84210</v>
      </c>
      <c r="N56" s="337">
        <v>83470</v>
      </c>
      <c r="Q56" s="115" t="s">
        <v>0</v>
      </c>
      <c r="R56" s="28">
        <v>231</v>
      </c>
      <c r="S56" s="110" t="s">
        <v>117</v>
      </c>
      <c r="T56" s="110"/>
      <c r="U56" s="110"/>
      <c r="AA56" s="155"/>
      <c r="AB56" s="155"/>
      <c r="AC56" s="155"/>
      <c r="AD56" s="155"/>
      <c r="AE56" s="155"/>
      <c r="AF56" s="155"/>
      <c r="AG56" s="155"/>
      <c r="AH56" s="148"/>
      <c r="AI56" s="148"/>
    </row>
    <row r="57" spans="1:35" ht="15" customHeight="1">
      <c r="A57" s="110"/>
      <c r="B57" s="242">
        <v>80210</v>
      </c>
      <c r="C57" s="242">
        <v>80650</v>
      </c>
      <c r="D57" s="242">
        <v>81040</v>
      </c>
      <c r="E57" s="242">
        <v>80600</v>
      </c>
      <c r="F57" s="242">
        <v>81240</v>
      </c>
      <c r="G57" s="242">
        <v>80490</v>
      </c>
      <c r="H57" s="242">
        <v>81740</v>
      </c>
      <c r="I57" s="242">
        <v>81690</v>
      </c>
      <c r="J57" s="242">
        <v>81660</v>
      </c>
      <c r="K57" s="242">
        <v>82260</v>
      </c>
      <c r="L57" s="337">
        <v>81720</v>
      </c>
      <c r="M57" s="337">
        <v>81870</v>
      </c>
      <c r="N57" s="337">
        <v>81900</v>
      </c>
      <c r="Q57" s="115" t="s">
        <v>366</v>
      </c>
      <c r="R57" s="28">
        <v>96</v>
      </c>
      <c r="S57" s="110" t="s">
        <v>119</v>
      </c>
      <c r="T57" s="110"/>
      <c r="U57" s="110"/>
      <c r="AA57" s="155"/>
      <c r="AB57" s="155"/>
      <c r="AC57" s="155"/>
      <c r="AD57" s="155"/>
      <c r="AE57" s="155"/>
      <c r="AF57" s="155"/>
      <c r="AG57" s="155"/>
      <c r="AH57" s="148"/>
      <c r="AI57" s="148"/>
    </row>
    <row r="58" spans="1:35" ht="15" customHeight="1">
      <c r="A58" s="110"/>
      <c r="B58" s="242">
        <v>1840</v>
      </c>
      <c r="C58" s="242">
        <v>1710</v>
      </c>
      <c r="D58" s="242">
        <v>1820</v>
      </c>
      <c r="E58" s="242">
        <v>1850</v>
      </c>
      <c r="F58" s="242">
        <v>1800</v>
      </c>
      <c r="G58" s="242">
        <v>1980</v>
      </c>
      <c r="H58" s="242">
        <v>1930</v>
      </c>
      <c r="I58" s="242">
        <v>1660</v>
      </c>
      <c r="J58" s="242">
        <v>1360</v>
      </c>
      <c r="K58" s="242">
        <v>1830</v>
      </c>
      <c r="L58" s="337">
        <v>2240</v>
      </c>
      <c r="M58" s="337">
        <v>2340</v>
      </c>
      <c r="N58" s="337">
        <v>1570</v>
      </c>
      <c r="Q58" s="115" t="s">
        <v>367</v>
      </c>
      <c r="R58" s="28">
        <v>111</v>
      </c>
      <c r="S58" s="110" t="s">
        <v>355</v>
      </c>
      <c r="T58" s="110"/>
      <c r="U58" s="110"/>
      <c r="AA58" s="155"/>
      <c r="AB58" s="155"/>
      <c r="AC58" s="155"/>
      <c r="AD58" s="155"/>
      <c r="AE58" s="155"/>
      <c r="AF58" s="155"/>
      <c r="AG58" s="155"/>
      <c r="AH58" s="148"/>
      <c r="AI58" s="148"/>
    </row>
    <row r="59" spans="1:35" ht="15" customHeight="1">
      <c r="A59" s="110"/>
      <c r="B59" s="243">
        <v>2.2000000000000002E-2</v>
      </c>
      <c r="C59" s="243">
        <v>2.1000000000000001E-2</v>
      </c>
      <c r="D59" s="243">
        <v>2.2000000000000002E-2</v>
      </c>
      <c r="E59" s="243">
        <v>2.2000000000000002E-2</v>
      </c>
      <c r="F59" s="243">
        <v>2.2000000000000002E-2</v>
      </c>
      <c r="G59" s="243">
        <v>2.4E-2</v>
      </c>
      <c r="H59" s="243">
        <v>2.3E-2</v>
      </c>
      <c r="I59" s="243">
        <v>0.02</v>
      </c>
      <c r="J59" s="243">
        <v>1.6E-2</v>
      </c>
      <c r="K59" s="243">
        <v>2.2000000000000002E-2</v>
      </c>
      <c r="L59" s="338">
        <v>2.7000000000000003E-2</v>
      </c>
      <c r="M59" s="338">
        <v>2.7999999999999997E-2</v>
      </c>
      <c r="N59" s="338">
        <v>1.9E-2</v>
      </c>
      <c r="Q59" s="115" t="s">
        <v>365</v>
      </c>
      <c r="R59" s="28">
        <v>176</v>
      </c>
      <c r="S59" s="110" t="s">
        <v>118</v>
      </c>
      <c r="T59" s="110"/>
      <c r="U59" s="110"/>
      <c r="AA59" s="156"/>
      <c r="AB59" s="156"/>
      <c r="AC59" s="156"/>
      <c r="AD59" s="156"/>
      <c r="AE59" s="156"/>
      <c r="AF59" s="156"/>
      <c r="AG59" s="156"/>
      <c r="AH59" s="148"/>
      <c r="AI59" s="148"/>
    </row>
    <row r="60" spans="1:35" ht="15" customHeight="1">
      <c r="A60" s="110" t="s">
        <v>100</v>
      </c>
      <c r="B60" s="242"/>
      <c r="C60" s="242"/>
      <c r="D60" s="242"/>
      <c r="E60" s="242"/>
      <c r="F60" s="242"/>
      <c r="G60" s="242"/>
      <c r="H60" s="242"/>
      <c r="I60" s="242"/>
      <c r="J60" s="242"/>
      <c r="K60" s="242"/>
      <c r="L60" s="337"/>
      <c r="M60" s="337"/>
      <c r="N60" s="337"/>
      <c r="Q60" s="115" t="s">
        <v>368</v>
      </c>
      <c r="R60" s="28">
        <v>256</v>
      </c>
      <c r="S60" s="110" t="s">
        <v>362</v>
      </c>
      <c r="T60" s="110"/>
      <c r="U60" s="110"/>
      <c r="AA60" s="155"/>
      <c r="AB60" s="155"/>
      <c r="AC60" s="155"/>
      <c r="AD60" s="155"/>
      <c r="AE60" s="155"/>
      <c r="AF60" s="155"/>
      <c r="AG60" s="155"/>
      <c r="AH60" s="149"/>
      <c r="AI60" s="149"/>
    </row>
    <row r="61" spans="1:35" ht="15" customHeight="1">
      <c r="A61" s="110"/>
      <c r="B61" s="242">
        <v>187140</v>
      </c>
      <c r="C61" s="242">
        <v>187640</v>
      </c>
      <c r="D61" s="242">
        <v>188310</v>
      </c>
      <c r="E61" s="242">
        <v>186600</v>
      </c>
      <c r="F61" s="242">
        <v>188630</v>
      </c>
      <c r="G61" s="242">
        <v>188700</v>
      </c>
      <c r="H61" s="242">
        <v>189760</v>
      </c>
      <c r="I61" s="242">
        <v>189380</v>
      </c>
      <c r="J61" s="242">
        <v>189340</v>
      </c>
      <c r="K61" s="242">
        <v>190700</v>
      </c>
      <c r="L61" s="337">
        <v>191680</v>
      </c>
      <c r="M61" s="337">
        <v>193060</v>
      </c>
      <c r="N61" s="337">
        <v>191360</v>
      </c>
      <c r="T61" s="110"/>
      <c r="U61" s="110"/>
      <c r="AA61" s="155"/>
      <c r="AB61" s="155"/>
      <c r="AC61" s="155"/>
      <c r="AD61" s="155"/>
      <c r="AE61" s="155"/>
      <c r="AF61" s="155"/>
      <c r="AG61" s="155"/>
      <c r="AH61" s="148"/>
      <c r="AI61" s="148"/>
    </row>
    <row r="62" spans="1:35" ht="15" customHeight="1">
      <c r="A62" s="110"/>
      <c r="B62" s="242">
        <v>182700</v>
      </c>
      <c r="C62" s="242">
        <v>183220</v>
      </c>
      <c r="D62" s="242">
        <v>183290</v>
      </c>
      <c r="E62" s="242">
        <v>181470</v>
      </c>
      <c r="F62" s="242">
        <v>183460</v>
      </c>
      <c r="G62" s="242">
        <v>182660</v>
      </c>
      <c r="H62" s="242">
        <v>184000</v>
      </c>
      <c r="I62" s="242">
        <v>184490</v>
      </c>
      <c r="J62" s="242">
        <v>185340</v>
      </c>
      <c r="K62" s="242">
        <v>186100</v>
      </c>
      <c r="L62" s="337">
        <v>186030</v>
      </c>
      <c r="M62" s="337">
        <v>187320</v>
      </c>
      <c r="N62" s="337">
        <v>187410</v>
      </c>
      <c r="T62" s="110"/>
      <c r="U62" s="110"/>
      <c r="AA62" s="155"/>
      <c r="AB62" s="155"/>
      <c r="AC62" s="155"/>
      <c r="AD62" s="155"/>
      <c r="AE62" s="155"/>
      <c r="AF62" s="155"/>
      <c r="AG62" s="155"/>
      <c r="AH62" s="148"/>
      <c r="AI62" s="148"/>
    </row>
    <row r="63" spans="1:35" ht="15" customHeight="1">
      <c r="A63" s="110"/>
      <c r="B63" s="242">
        <v>4440</v>
      </c>
      <c r="C63" s="242">
        <v>4420</v>
      </c>
      <c r="D63" s="242">
        <v>5020</v>
      </c>
      <c r="E63" s="242">
        <v>5130</v>
      </c>
      <c r="F63" s="242">
        <v>5170</v>
      </c>
      <c r="G63" s="242">
        <v>6040</v>
      </c>
      <c r="H63" s="242">
        <v>5760</v>
      </c>
      <c r="I63" s="242">
        <v>4890</v>
      </c>
      <c r="J63" s="242">
        <v>4000</v>
      </c>
      <c r="K63" s="242">
        <v>4600</v>
      </c>
      <c r="L63" s="337">
        <v>5650</v>
      </c>
      <c r="M63" s="337">
        <v>5740</v>
      </c>
      <c r="N63" s="337">
        <v>3950</v>
      </c>
      <c r="Q63" s="83" t="s">
        <v>399</v>
      </c>
      <c r="T63" s="110"/>
      <c r="U63" s="110"/>
      <c r="AA63" s="155"/>
      <c r="AB63" s="155"/>
      <c r="AC63" s="155"/>
      <c r="AD63" s="155"/>
      <c r="AE63" s="155"/>
      <c r="AF63" s="155"/>
      <c r="AG63" s="155"/>
      <c r="AH63" s="148"/>
      <c r="AI63" s="148"/>
    </row>
    <row r="64" spans="1:35" ht="15" customHeight="1">
      <c r="A64" s="110"/>
      <c r="B64" s="243">
        <v>2.4E-2</v>
      </c>
      <c r="C64" s="243">
        <v>2.4E-2</v>
      </c>
      <c r="D64" s="243">
        <v>2.7000000000000003E-2</v>
      </c>
      <c r="E64" s="243">
        <v>2.7000000000000003E-2</v>
      </c>
      <c r="F64" s="243">
        <v>2.7000000000000003E-2</v>
      </c>
      <c r="G64" s="243">
        <v>3.2000000000000001E-2</v>
      </c>
      <c r="H64" s="243">
        <v>0.03</v>
      </c>
      <c r="I64" s="243">
        <v>2.6000000000000002E-2</v>
      </c>
      <c r="J64" s="243">
        <v>2.1000000000000001E-2</v>
      </c>
      <c r="K64" s="243">
        <v>2.4E-2</v>
      </c>
      <c r="L64" s="338">
        <v>2.8999999999999998E-2</v>
      </c>
      <c r="M64" s="338">
        <v>0.03</v>
      </c>
      <c r="N64" s="338">
        <v>2.1000000000000001E-2</v>
      </c>
      <c r="Q64" s="83" t="s">
        <v>400</v>
      </c>
      <c r="T64" s="110"/>
      <c r="U64" s="110"/>
      <c r="AA64" s="156"/>
      <c r="AB64" s="156"/>
      <c r="AC64" s="156"/>
      <c r="AD64" s="156"/>
      <c r="AE64" s="156"/>
      <c r="AF64" s="156"/>
      <c r="AG64" s="156"/>
      <c r="AH64" s="148"/>
      <c r="AI64" s="148"/>
    </row>
    <row r="65" spans="1:35" ht="15" customHeight="1">
      <c r="A65" s="110" t="s">
        <v>101</v>
      </c>
      <c r="B65" s="242"/>
      <c r="C65" s="242"/>
      <c r="D65" s="242"/>
      <c r="E65" s="242"/>
      <c r="F65" s="242"/>
      <c r="G65" s="242"/>
      <c r="H65" s="242"/>
      <c r="I65" s="242"/>
      <c r="J65" s="242"/>
      <c r="K65" s="242"/>
      <c r="L65" s="337"/>
      <c r="M65" s="337"/>
      <c r="N65" s="337"/>
      <c r="Q65" s="117" t="str">
        <f>B4</f>
        <v>Sep-23</v>
      </c>
      <c r="R65" s="118">
        <f ca="1">OFFSET(LaborForce!$A$5,LaborForce!$R$4+3,1)</f>
        <v>3.5999999999999997E-2</v>
      </c>
      <c r="T65" s="110"/>
      <c r="AA65" s="155"/>
      <c r="AB65" s="155"/>
      <c r="AC65" s="155"/>
      <c r="AD65" s="155"/>
      <c r="AE65" s="155"/>
      <c r="AF65" s="155"/>
      <c r="AG65" s="155"/>
      <c r="AH65" s="149"/>
      <c r="AI65" s="149"/>
    </row>
    <row r="66" spans="1:35" ht="15" customHeight="1">
      <c r="A66" s="110"/>
      <c r="B66" s="242">
        <v>73160</v>
      </c>
      <c r="C66" s="242">
        <v>73310</v>
      </c>
      <c r="D66" s="242">
        <v>73310</v>
      </c>
      <c r="E66" s="242">
        <v>72380</v>
      </c>
      <c r="F66" s="242">
        <v>72250</v>
      </c>
      <c r="G66" s="242">
        <v>73260</v>
      </c>
      <c r="H66" s="242">
        <v>73780</v>
      </c>
      <c r="I66" s="242">
        <v>73690</v>
      </c>
      <c r="J66" s="242">
        <v>72740</v>
      </c>
      <c r="K66" s="242">
        <v>73130</v>
      </c>
      <c r="L66" s="337">
        <v>73800</v>
      </c>
      <c r="M66" s="337">
        <v>74000</v>
      </c>
      <c r="N66" s="337">
        <v>74700</v>
      </c>
      <c r="Q66" s="117" t="str">
        <f>C4</f>
        <v>Oct-23</v>
      </c>
      <c r="R66" s="118">
        <f ca="1">OFFSET(LaborForce!$A$5,LaborForce!$R$4+3,2)</f>
        <v>3.5999999999999997E-2</v>
      </c>
      <c r="AA66" s="155"/>
      <c r="AB66" s="155"/>
      <c r="AC66" s="155"/>
      <c r="AD66" s="155"/>
      <c r="AE66" s="155"/>
      <c r="AF66" s="155"/>
      <c r="AG66" s="155"/>
      <c r="AH66" s="148"/>
      <c r="AI66" s="148"/>
    </row>
    <row r="67" spans="1:35" ht="15" customHeight="1">
      <c r="A67" s="110"/>
      <c r="B67" s="242">
        <v>71390</v>
      </c>
      <c r="C67" s="242">
        <v>71630</v>
      </c>
      <c r="D67" s="242">
        <v>71600</v>
      </c>
      <c r="E67" s="242">
        <v>70710</v>
      </c>
      <c r="F67" s="242">
        <v>70530</v>
      </c>
      <c r="G67" s="242">
        <v>71390</v>
      </c>
      <c r="H67" s="242">
        <v>71920</v>
      </c>
      <c r="I67" s="242">
        <v>72000</v>
      </c>
      <c r="J67" s="242">
        <v>71390</v>
      </c>
      <c r="K67" s="242">
        <v>71320</v>
      </c>
      <c r="L67" s="337">
        <v>71620</v>
      </c>
      <c r="M67" s="337">
        <v>71830</v>
      </c>
      <c r="N67" s="337">
        <v>73210</v>
      </c>
      <c r="Q67" s="117" t="str">
        <f>D4</f>
        <v>Nov-23</v>
      </c>
      <c r="R67" s="118">
        <f ca="1">OFFSET(LaborForce!$A$5,LaborForce!$R$4+3,3)</f>
        <v>3.5000000000000003E-2</v>
      </c>
      <c r="AA67" s="155"/>
      <c r="AB67" s="155"/>
      <c r="AC67" s="155"/>
      <c r="AD67" s="155"/>
      <c r="AE67" s="155"/>
      <c r="AF67" s="155"/>
      <c r="AG67" s="155"/>
      <c r="AH67" s="148"/>
      <c r="AI67" s="148"/>
    </row>
    <row r="68" spans="1:35" ht="15" customHeight="1">
      <c r="A68" s="110"/>
      <c r="B68" s="242">
        <v>1770</v>
      </c>
      <c r="C68" s="242">
        <v>1680</v>
      </c>
      <c r="D68" s="242">
        <v>1710</v>
      </c>
      <c r="E68" s="242">
        <v>1670</v>
      </c>
      <c r="F68" s="242">
        <v>1720</v>
      </c>
      <c r="G68" s="242">
        <v>1870</v>
      </c>
      <c r="H68" s="242">
        <v>1860</v>
      </c>
      <c r="I68" s="242">
        <v>1690</v>
      </c>
      <c r="J68" s="242">
        <v>1350</v>
      </c>
      <c r="K68" s="242">
        <v>1810</v>
      </c>
      <c r="L68" s="337">
        <v>2180</v>
      </c>
      <c r="M68" s="337">
        <v>2170</v>
      </c>
      <c r="N68" s="337">
        <v>1490</v>
      </c>
      <c r="Q68" s="117" t="str">
        <f>E4</f>
        <v>Dec-23</v>
      </c>
      <c r="R68" s="118">
        <f ca="1">OFFSET(LaborForce!$A$5,LaborForce!$R$4+3,4)</f>
        <v>3.5000000000000003E-2</v>
      </c>
      <c r="AA68" s="155"/>
      <c r="AB68" s="155"/>
      <c r="AC68" s="155"/>
      <c r="AD68" s="155"/>
      <c r="AE68" s="155"/>
      <c r="AF68" s="155"/>
      <c r="AG68" s="155"/>
      <c r="AH68" s="148"/>
      <c r="AI68" s="148"/>
    </row>
    <row r="69" spans="1:35" ht="15" customHeight="1">
      <c r="A69" s="110"/>
      <c r="B69" s="243">
        <v>2.4E-2</v>
      </c>
      <c r="C69" s="243">
        <v>2.3E-2</v>
      </c>
      <c r="D69" s="243">
        <v>2.3E-2</v>
      </c>
      <c r="E69" s="243">
        <v>2.3E-2</v>
      </c>
      <c r="F69" s="243">
        <v>2.4E-2</v>
      </c>
      <c r="G69" s="243">
        <v>2.6000000000000002E-2</v>
      </c>
      <c r="H69" s="243">
        <v>2.5000000000000001E-2</v>
      </c>
      <c r="I69" s="243">
        <v>2.3E-2</v>
      </c>
      <c r="J69" s="243">
        <v>1.9E-2</v>
      </c>
      <c r="K69" s="243">
        <v>2.5000000000000001E-2</v>
      </c>
      <c r="L69" s="338">
        <v>2.8999999999999998E-2</v>
      </c>
      <c r="M69" s="338">
        <v>2.8999999999999998E-2</v>
      </c>
      <c r="N69" s="338">
        <v>0.02</v>
      </c>
      <c r="Q69" s="117" t="str">
        <f>F4</f>
        <v>Jan-24</v>
      </c>
      <c r="R69" s="118">
        <f ca="1">OFFSET(LaborForce!$A$5,LaborForce!$R$4+3,5)</f>
        <v>4.1000000000000002E-2</v>
      </c>
      <c r="AA69" s="156"/>
      <c r="AB69" s="156"/>
      <c r="AC69" s="156"/>
      <c r="AD69" s="156"/>
      <c r="AE69" s="156"/>
      <c r="AF69" s="156"/>
      <c r="AG69" s="156"/>
      <c r="AH69" s="148"/>
      <c r="AI69" s="148"/>
    </row>
    <row r="70" spans="1:35" ht="15" customHeight="1">
      <c r="A70" s="110" t="s">
        <v>102</v>
      </c>
      <c r="B70" s="242"/>
      <c r="C70" s="242"/>
      <c r="D70" s="242"/>
      <c r="E70" s="242"/>
      <c r="F70" s="242"/>
      <c r="G70" s="242"/>
      <c r="H70" s="242"/>
      <c r="I70" s="242"/>
      <c r="J70" s="242"/>
      <c r="K70" s="242"/>
      <c r="L70" s="337"/>
      <c r="M70" s="337"/>
      <c r="N70" s="337"/>
      <c r="Q70" s="117" t="str">
        <f>G4</f>
        <v>Feb-24</v>
      </c>
      <c r="R70" s="118">
        <f ca="1">OFFSET(LaborForce!$A$5,LaborForce!$R$4+3,6)</f>
        <v>4.2000000000000003E-2</v>
      </c>
      <c r="AA70" s="155"/>
      <c r="AB70" s="155"/>
      <c r="AC70" s="155"/>
      <c r="AD70" s="155"/>
      <c r="AE70" s="155"/>
      <c r="AF70" s="155"/>
      <c r="AG70" s="155"/>
      <c r="AH70" s="149"/>
      <c r="AI70" s="149"/>
    </row>
    <row r="71" spans="1:35" ht="15" customHeight="1">
      <c r="A71" s="110"/>
      <c r="B71" s="242">
        <v>22750</v>
      </c>
      <c r="C71" s="242">
        <v>22720</v>
      </c>
      <c r="D71" s="242">
        <v>22840</v>
      </c>
      <c r="E71" s="242">
        <v>22770</v>
      </c>
      <c r="F71" s="242">
        <v>22860</v>
      </c>
      <c r="G71" s="242">
        <v>22520</v>
      </c>
      <c r="H71" s="242">
        <v>23080</v>
      </c>
      <c r="I71" s="242">
        <v>22980</v>
      </c>
      <c r="J71" s="242">
        <v>22960</v>
      </c>
      <c r="K71" s="242">
        <v>23370</v>
      </c>
      <c r="L71" s="337">
        <v>23180</v>
      </c>
      <c r="M71" s="337">
        <v>23510</v>
      </c>
      <c r="N71" s="337">
        <v>23110</v>
      </c>
      <c r="Q71" s="117" t="str">
        <f>H4</f>
        <v>Mar-24</v>
      </c>
      <c r="R71" s="118">
        <f ca="1">OFFSET(LaborForce!$A$5,LaborForce!$R$4+3,7)</f>
        <v>3.9E-2</v>
      </c>
      <c r="AA71" s="155"/>
      <c r="AB71" s="155"/>
      <c r="AC71" s="155"/>
      <c r="AD71" s="155"/>
      <c r="AE71" s="155"/>
      <c r="AF71" s="155"/>
      <c r="AG71" s="155"/>
      <c r="AH71" s="148"/>
      <c r="AI71" s="148"/>
    </row>
    <row r="72" spans="1:35" ht="15" customHeight="1">
      <c r="A72" s="110"/>
      <c r="B72" s="242">
        <v>22250</v>
      </c>
      <c r="C72" s="242">
        <v>22250</v>
      </c>
      <c r="D72" s="242">
        <v>22330</v>
      </c>
      <c r="E72" s="242">
        <v>22250</v>
      </c>
      <c r="F72" s="242">
        <v>22380</v>
      </c>
      <c r="G72" s="242">
        <v>21990</v>
      </c>
      <c r="H72" s="242">
        <v>22560</v>
      </c>
      <c r="I72" s="242">
        <v>22530</v>
      </c>
      <c r="J72" s="242">
        <v>22590</v>
      </c>
      <c r="K72" s="242">
        <v>22860</v>
      </c>
      <c r="L72" s="337">
        <v>22580</v>
      </c>
      <c r="M72" s="337">
        <v>22850</v>
      </c>
      <c r="N72" s="337">
        <v>22680</v>
      </c>
      <c r="Q72" s="117" t="str">
        <f>I4</f>
        <v>Apr-24</v>
      </c>
      <c r="R72" s="118">
        <f ca="1">OFFSET(LaborForce!$A$5,LaborForce!$R$4+3,8)</f>
        <v>3.5000000000000003E-2</v>
      </c>
      <c r="AA72" s="155"/>
      <c r="AB72" s="155"/>
      <c r="AC72" s="155"/>
      <c r="AD72" s="155"/>
      <c r="AE72" s="155"/>
      <c r="AF72" s="155"/>
      <c r="AG72" s="155"/>
      <c r="AH72" s="148"/>
      <c r="AI72" s="148"/>
    </row>
    <row r="73" spans="1:35" ht="15" customHeight="1">
      <c r="A73" s="110"/>
      <c r="B73" s="242">
        <v>500</v>
      </c>
      <c r="C73" s="242">
        <v>470</v>
      </c>
      <c r="D73" s="242">
        <v>510</v>
      </c>
      <c r="E73" s="242">
        <v>520</v>
      </c>
      <c r="F73" s="242">
        <v>480</v>
      </c>
      <c r="G73" s="242">
        <v>530</v>
      </c>
      <c r="H73" s="242">
        <v>520</v>
      </c>
      <c r="I73" s="242">
        <v>450</v>
      </c>
      <c r="J73" s="242">
        <v>370</v>
      </c>
      <c r="K73" s="242">
        <v>510</v>
      </c>
      <c r="L73" s="337">
        <v>600</v>
      </c>
      <c r="M73" s="337">
        <v>660</v>
      </c>
      <c r="N73" s="337">
        <v>430</v>
      </c>
      <c r="Q73" s="117" t="str">
        <f>J4</f>
        <v>May-24</v>
      </c>
      <c r="R73" s="118">
        <f ca="1">OFFSET(LaborForce!$A$5,LaborForce!$R$4+3,9)</f>
        <v>3.6999999999999998E-2</v>
      </c>
      <c r="AA73" s="155"/>
      <c r="AB73" s="155"/>
      <c r="AC73" s="155"/>
      <c r="AD73" s="155"/>
      <c r="AE73" s="155"/>
      <c r="AF73" s="155"/>
      <c r="AG73" s="155"/>
      <c r="AH73" s="148"/>
      <c r="AI73" s="148"/>
    </row>
    <row r="74" spans="1:35" ht="15" customHeight="1">
      <c r="A74" s="110"/>
      <c r="B74" s="243">
        <v>2.2000000000000002E-2</v>
      </c>
      <c r="C74" s="243">
        <v>0.02</v>
      </c>
      <c r="D74" s="243">
        <v>2.2000000000000002E-2</v>
      </c>
      <c r="E74" s="243">
        <v>2.3E-2</v>
      </c>
      <c r="F74" s="243">
        <v>2.1000000000000001E-2</v>
      </c>
      <c r="G74" s="243">
        <v>2.4E-2</v>
      </c>
      <c r="H74" s="243">
        <v>2.3E-2</v>
      </c>
      <c r="I74" s="243">
        <v>0.02</v>
      </c>
      <c r="J74" s="243">
        <v>1.6E-2</v>
      </c>
      <c r="K74" s="243">
        <v>2.2000000000000002E-2</v>
      </c>
      <c r="L74" s="338">
        <v>2.6000000000000002E-2</v>
      </c>
      <c r="M74" s="338">
        <v>2.7999999999999997E-2</v>
      </c>
      <c r="N74" s="338">
        <v>1.9E-2</v>
      </c>
      <c r="Q74" s="117" t="str">
        <f>K4</f>
        <v>Jun-24</v>
      </c>
      <c r="R74" s="118">
        <f ca="1">OFFSET(LaborForce!$A$5,LaborForce!$R$4+3,10)</f>
        <v>4.2999999999999997E-2</v>
      </c>
      <c r="AA74" s="156"/>
      <c r="AB74" s="156"/>
      <c r="AC74" s="156"/>
      <c r="AD74" s="156"/>
      <c r="AE74" s="156"/>
      <c r="AF74" s="156"/>
      <c r="AG74" s="156"/>
      <c r="AH74" s="148"/>
      <c r="AI74" s="148"/>
    </row>
    <row r="75" spans="1:35" ht="15" customHeight="1">
      <c r="A75" s="110" t="s">
        <v>344</v>
      </c>
      <c r="B75" s="242"/>
      <c r="C75" s="242"/>
      <c r="D75" s="242"/>
      <c r="E75" s="242"/>
      <c r="F75" s="242"/>
      <c r="G75" s="242"/>
      <c r="H75" s="242"/>
      <c r="I75" s="242"/>
      <c r="J75" s="242"/>
      <c r="K75" s="242"/>
      <c r="L75" s="337"/>
      <c r="M75" s="337"/>
      <c r="N75" s="337"/>
      <c r="Q75" s="117" t="str">
        <f>L4</f>
        <v>Jul-24</v>
      </c>
      <c r="R75" s="118">
        <f ca="1">OFFSET(LaborForce!$A$5,LaborForce!$R$4+3,11)</f>
        <v>4.4999999999999998E-2</v>
      </c>
      <c r="AA75" s="155"/>
      <c r="AB75" s="155"/>
      <c r="AC75" s="155"/>
      <c r="AD75" s="155"/>
      <c r="AE75" s="155"/>
      <c r="AF75" s="155"/>
      <c r="AG75" s="155"/>
      <c r="AH75" s="149"/>
      <c r="AI75" s="149"/>
    </row>
    <row r="76" spans="1:35" ht="15" customHeight="1">
      <c r="A76" s="110"/>
      <c r="B76" s="242">
        <v>11090</v>
      </c>
      <c r="C76" s="242">
        <v>10960</v>
      </c>
      <c r="D76" s="242">
        <v>11000</v>
      </c>
      <c r="E76" s="242">
        <v>10820</v>
      </c>
      <c r="F76" s="242">
        <v>10750</v>
      </c>
      <c r="G76" s="242">
        <v>10710</v>
      </c>
      <c r="H76" s="242">
        <v>10820</v>
      </c>
      <c r="I76" s="242">
        <v>10900</v>
      </c>
      <c r="J76" s="242">
        <v>11000</v>
      </c>
      <c r="K76" s="242">
        <v>11350</v>
      </c>
      <c r="L76" s="337">
        <v>11450</v>
      </c>
      <c r="M76" s="337">
        <v>11470</v>
      </c>
      <c r="N76" s="337">
        <v>11140</v>
      </c>
      <c r="Q76" s="117" t="str">
        <f>M4</f>
        <v>Aug-24</v>
      </c>
      <c r="R76" s="118">
        <f ca="1">OFFSET(LaborForce!$A$5,LaborForce!$R$4+3,12)</f>
        <v>4.3999999999999997E-2</v>
      </c>
      <c r="AA76" s="155"/>
      <c r="AB76" s="155"/>
      <c r="AC76" s="155"/>
      <c r="AD76" s="155"/>
      <c r="AE76" s="155"/>
      <c r="AF76" s="155"/>
      <c r="AG76" s="155"/>
      <c r="AH76" s="148"/>
      <c r="AI76" s="148"/>
    </row>
    <row r="77" spans="1:35" ht="15" customHeight="1">
      <c r="A77" s="110"/>
      <c r="B77" s="242">
        <v>10840</v>
      </c>
      <c r="C77" s="242">
        <v>10730</v>
      </c>
      <c r="D77" s="242">
        <v>10740</v>
      </c>
      <c r="E77" s="242">
        <v>10550</v>
      </c>
      <c r="F77" s="242">
        <v>10490</v>
      </c>
      <c r="G77" s="242">
        <v>10400</v>
      </c>
      <c r="H77" s="242">
        <v>10520</v>
      </c>
      <c r="I77" s="242">
        <v>10630</v>
      </c>
      <c r="J77" s="242">
        <v>10800</v>
      </c>
      <c r="K77" s="242">
        <v>11100</v>
      </c>
      <c r="L77" s="337">
        <v>11130</v>
      </c>
      <c r="M77" s="337">
        <v>11140</v>
      </c>
      <c r="N77" s="337">
        <v>10920</v>
      </c>
      <c r="Q77" s="117" t="str">
        <f>N4</f>
        <v>Sep-24</v>
      </c>
      <c r="R77" s="118">
        <f ca="1">OFFSET(LaborForce!$A$5,LaborForce!$R$4+3,13)</f>
        <v>3.9E-2</v>
      </c>
      <c r="AA77" s="155"/>
      <c r="AB77" s="155"/>
      <c r="AC77" s="155"/>
      <c r="AD77" s="155"/>
      <c r="AE77" s="155"/>
      <c r="AF77" s="155"/>
      <c r="AG77" s="155"/>
      <c r="AH77" s="148"/>
      <c r="AI77" s="148"/>
    </row>
    <row r="78" spans="1:35" ht="15" customHeight="1">
      <c r="A78" s="110"/>
      <c r="B78" s="242">
        <v>250</v>
      </c>
      <c r="C78" s="242">
        <v>230</v>
      </c>
      <c r="D78" s="242">
        <v>260</v>
      </c>
      <c r="E78" s="242">
        <v>270</v>
      </c>
      <c r="F78" s="242">
        <v>260</v>
      </c>
      <c r="G78" s="242">
        <v>310</v>
      </c>
      <c r="H78" s="242">
        <v>300</v>
      </c>
      <c r="I78" s="242">
        <v>270</v>
      </c>
      <c r="J78" s="242">
        <v>200</v>
      </c>
      <c r="K78" s="242">
        <v>250</v>
      </c>
      <c r="L78" s="337">
        <v>320</v>
      </c>
      <c r="M78" s="337">
        <v>330</v>
      </c>
      <c r="N78" s="337">
        <v>220</v>
      </c>
      <c r="AA78" s="155"/>
      <c r="AB78" s="155"/>
      <c r="AC78" s="155"/>
      <c r="AD78" s="155"/>
      <c r="AE78" s="155"/>
      <c r="AF78" s="155"/>
      <c r="AG78" s="155"/>
      <c r="AH78" s="148"/>
      <c r="AI78" s="148"/>
    </row>
    <row r="79" spans="1:35" ht="15" customHeight="1">
      <c r="A79" s="110"/>
      <c r="B79" s="243">
        <v>2.3E-2</v>
      </c>
      <c r="C79" s="243">
        <v>2.1000000000000001E-2</v>
      </c>
      <c r="D79" s="243">
        <v>2.4E-2</v>
      </c>
      <c r="E79" s="243">
        <v>2.5000000000000001E-2</v>
      </c>
      <c r="F79" s="243">
        <v>2.4E-2</v>
      </c>
      <c r="G79" s="243">
        <v>2.8999999999999998E-2</v>
      </c>
      <c r="H79" s="243">
        <v>2.7999999999999997E-2</v>
      </c>
      <c r="I79" s="243">
        <v>2.5000000000000001E-2</v>
      </c>
      <c r="J79" s="243">
        <v>1.8000000000000002E-2</v>
      </c>
      <c r="K79" s="243">
        <v>2.2000000000000002E-2</v>
      </c>
      <c r="L79" s="338">
        <v>2.7999999999999997E-2</v>
      </c>
      <c r="M79" s="338">
        <v>2.8999999999999998E-2</v>
      </c>
      <c r="N79" s="338">
        <v>0.02</v>
      </c>
      <c r="AA79" s="156"/>
      <c r="AB79" s="156"/>
      <c r="AC79" s="156"/>
      <c r="AD79" s="156"/>
      <c r="AE79" s="156"/>
      <c r="AF79" s="156"/>
      <c r="AG79" s="156"/>
      <c r="AH79" s="148"/>
      <c r="AI79" s="148"/>
    </row>
    <row r="80" spans="1:35" ht="15" customHeight="1">
      <c r="A80" s="110" t="s">
        <v>103</v>
      </c>
      <c r="B80" s="242"/>
      <c r="C80" s="242"/>
      <c r="D80" s="242"/>
      <c r="E80" s="242"/>
      <c r="F80" s="242"/>
      <c r="G80" s="242"/>
      <c r="H80" s="242"/>
      <c r="I80" s="242"/>
      <c r="J80" s="242"/>
      <c r="K80" s="242"/>
      <c r="L80" s="337"/>
      <c r="M80" s="337"/>
      <c r="N80" s="337"/>
      <c r="AA80" s="155"/>
      <c r="AB80" s="155"/>
      <c r="AC80" s="155"/>
      <c r="AD80" s="155"/>
      <c r="AE80" s="155"/>
      <c r="AF80" s="155"/>
      <c r="AG80" s="155"/>
      <c r="AH80" s="149"/>
      <c r="AI80" s="149"/>
    </row>
    <row r="81" spans="1:35" ht="15" customHeight="1">
      <c r="A81" s="110"/>
      <c r="B81" s="242">
        <v>6330</v>
      </c>
      <c r="C81" s="242">
        <v>6270</v>
      </c>
      <c r="D81" s="242">
        <v>6170</v>
      </c>
      <c r="E81" s="242">
        <v>6220</v>
      </c>
      <c r="F81" s="242">
        <v>6160</v>
      </c>
      <c r="G81" s="242">
        <v>6080</v>
      </c>
      <c r="H81" s="242">
        <v>6230</v>
      </c>
      <c r="I81" s="242">
        <v>6180</v>
      </c>
      <c r="J81" s="242">
        <v>6180</v>
      </c>
      <c r="K81" s="242">
        <v>6470</v>
      </c>
      <c r="L81" s="337">
        <v>6360</v>
      </c>
      <c r="M81" s="337">
        <v>6420</v>
      </c>
      <c r="N81" s="337">
        <v>6380</v>
      </c>
      <c r="AA81" s="155"/>
      <c r="AB81" s="155"/>
      <c r="AC81" s="155"/>
      <c r="AD81" s="155"/>
      <c r="AE81" s="155"/>
      <c r="AF81" s="155"/>
      <c r="AG81" s="155"/>
      <c r="AH81" s="148"/>
      <c r="AI81" s="148"/>
    </row>
    <row r="82" spans="1:35" ht="15" customHeight="1">
      <c r="A82" s="110"/>
      <c r="B82" s="242">
        <v>6150</v>
      </c>
      <c r="C82" s="242">
        <v>6100</v>
      </c>
      <c r="D82" s="242">
        <v>5990</v>
      </c>
      <c r="E82" s="242">
        <v>6010</v>
      </c>
      <c r="F82" s="242">
        <v>5950</v>
      </c>
      <c r="G82" s="242">
        <v>5860</v>
      </c>
      <c r="H82" s="242">
        <v>6020</v>
      </c>
      <c r="I82" s="242">
        <v>5990</v>
      </c>
      <c r="J82" s="242">
        <v>6040</v>
      </c>
      <c r="K82" s="242">
        <v>6300</v>
      </c>
      <c r="L82" s="337">
        <v>6160</v>
      </c>
      <c r="M82" s="337">
        <v>6200</v>
      </c>
      <c r="N82" s="337">
        <v>6250</v>
      </c>
      <c r="AA82" s="155"/>
      <c r="AB82" s="155"/>
      <c r="AC82" s="155"/>
      <c r="AD82" s="155"/>
      <c r="AE82" s="155"/>
      <c r="AF82" s="155"/>
      <c r="AG82" s="155"/>
      <c r="AH82" s="148"/>
      <c r="AI82" s="148"/>
    </row>
    <row r="83" spans="1:35" ht="15" customHeight="1">
      <c r="A83" s="110"/>
      <c r="B83" s="242">
        <v>180</v>
      </c>
      <c r="C83" s="242">
        <v>170</v>
      </c>
      <c r="D83" s="242">
        <v>180</v>
      </c>
      <c r="E83" s="242">
        <v>210</v>
      </c>
      <c r="F83" s="242">
        <v>210</v>
      </c>
      <c r="G83" s="242">
        <v>220</v>
      </c>
      <c r="H83" s="242">
        <v>210</v>
      </c>
      <c r="I83" s="242">
        <v>190</v>
      </c>
      <c r="J83" s="242">
        <v>140</v>
      </c>
      <c r="K83" s="242">
        <v>170</v>
      </c>
      <c r="L83" s="337">
        <v>200</v>
      </c>
      <c r="M83" s="337">
        <v>220</v>
      </c>
      <c r="N83" s="337">
        <v>130</v>
      </c>
      <c r="AA83" s="155"/>
      <c r="AB83" s="155"/>
      <c r="AC83" s="155"/>
      <c r="AD83" s="155"/>
      <c r="AE83" s="155"/>
      <c r="AF83" s="155"/>
      <c r="AG83" s="155"/>
      <c r="AH83" s="148"/>
      <c r="AI83" s="148"/>
    </row>
    <row r="84" spans="1:35" ht="15" customHeight="1">
      <c r="A84" s="110"/>
      <c r="B84" s="243">
        <v>2.7999999999999997E-2</v>
      </c>
      <c r="C84" s="243">
        <v>2.7999999999999997E-2</v>
      </c>
      <c r="D84" s="243">
        <v>2.7999999999999997E-2</v>
      </c>
      <c r="E84" s="243">
        <v>3.4000000000000002E-2</v>
      </c>
      <c r="F84" s="243">
        <v>3.4000000000000002E-2</v>
      </c>
      <c r="G84" s="243">
        <v>3.6000000000000004E-2</v>
      </c>
      <c r="H84" s="243">
        <v>3.4000000000000002E-2</v>
      </c>
      <c r="I84" s="243">
        <v>3.1E-2</v>
      </c>
      <c r="J84" s="243">
        <v>2.3E-2</v>
      </c>
      <c r="K84" s="243">
        <v>2.6000000000000002E-2</v>
      </c>
      <c r="L84" s="338">
        <v>3.1E-2</v>
      </c>
      <c r="M84" s="338">
        <v>3.3000000000000002E-2</v>
      </c>
      <c r="N84" s="338">
        <v>2.1000000000000001E-2</v>
      </c>
      <c r="AA84" s="156"/>
      <c r="AB84" s="156"/>
      <c r="AC84" s="156"/>
      <c r="AD84" s="156"/>
      <c r="AE84" s="156"/>
      <c r="AF84" s="156"/>
      <c r="AG84" s="156"/>
      <c r="AH84" s="148"/>
      <c r="AI84" s="148"/>
    </row>
    <row r="85" spans="1:35" ht="15" customHeight="1">
      <c r="A85" s="110" t="s">
        <v>104</v>
      </c>
      <c r="B85" s="242"/>
      <c r="C85" s="242"/>
      <c r="D85" s="242"/>
      <c r="E85" s="242"/>
      <c r="F85" s="242"/>
      <c r="G85" s="242"/>
      <c r="H85" s="242"/>
      <c r="I85" s="242"/>
      <c r="J85" s="242"/>
      <c r="K85" s="242"/>
      <c r="L85" s="337"/>
      <c r="M85" s="337"/>
      <c r="N85" s="337"/>
      <c r="AA85" s="155"/>
      <c r="AB85" s="155"/>
      <c r="AC85" s="155"/>
      <c r="AD85" s="155"/>
      <c r="AE85" s="155"/>
      <c r="AF85" s="155"/>
      <c r="AG85" s="155"/>
      <c r="AH85" s="149"/>
      <c r="AI85" s="149"/>
    </row>
    <row r="86" spans="1:35" ht="15" customHeight="1">
      <c r="A86" s="110"/>
      <c r="B86" s="242">
        <v>6910</v>
      </c>
      <c r="C86" s="242">
        <v>6920</v>
      </c>
      <c r="D86" s="242">
        <v>6950</v>
      </c>
      <c r="E86" s="242">
        <v>6950</v>
      </c>
      <c r="F86" s="242">
        <v>6940</v>
      </c>
      <c r="G86" s="242">
        <v>6850</v>
      </c>
      <c r="H86" s="242">
        <v>6990</v>
      </c>
      <c r="I86" s="242">
        <v>6970</v>
      </c>
      <c r="J86" s="242">
        <v>6970</v>
      </c>
      <c r="K86" s="242">
        <v>7130</v>
      </c>
      <c r="L86" s="337">
        <v>7080</v>
      </c>
      <c r="M86" s="337">
        <v>7190</v>
      </c>
      <c r="N86" s="337">
        <v>7040</v>
      </c>
      <c r="AA86" s="155"/>
      <c r="AB86" s="155"/>
      <c r="AC86" s="155"/>
      <c r="AD86" s="155"/>
      <c r="AE86" s="155"/>
      <c r="AF86" s="155"/>
      <c r="AG86" s="155"/>
      <c r="AH86" s="148"/>
      <c r="AI86" s="148"/>
    </row>
    <row r="87" spans="1:35" ht="15" customHeight="1">
      <c r="A87" s="110"/>
      <c r="B87" s="242">
        <v>6760</v>
      </c>
      <c r="C87" s="242">
        <v>6780</v>
      </c>
      <c r="D87" s="242">
        <v>6800</v>
      </c>
      <c r="E87" s="242">
        <v>6790</v>
      </c>
      <c r="F87" s="242">
        <v>6780</v>
      </c>
      <c r="G87" s="242">
        <v>6680</v>
      </c>
      <c r="H87" s="242">
        <v>6830</v>
      </c>
      <c r="I87" s="242">
        <v>6830</v>
      </c>
      <c r="J87" s="242">
        <v>6860</v>
      </c>
      <c r="K87" s="242">
        <v>6970</v>
      </c>
      <c r="L87" s="337">
        <v>6890</v>
      </c>
      <c r="M87" s="337">
        <v>6980</v>
      </c>
      <c r="N87" s="337">
        <v>6910</v>
      </c>
      <c r="AA87" s="155"/>
      <c r="AB87" s="155"/>
      <c r="AC87" s="155"/>
      <c r="AD87" s="155"/>
      <c r="AE87" s="155"/>
      <c r="AF87" s="155"/>
      <c r="AG87" s="155"/>
      <c r="AH87" s="148"/>
      <c r="AI87" s="148"/>
    </row>
    <row r="88" spans="1:35" ht="15" customHeight="1">
      <c r="A88" s="110"/>
      <c r="B88" s="242">
        <v>150</v>
      </c>
      <c r="C88" s="242">
        <v>140</v>
      </c>
      <c r="D88" s="242">
        <v>150</v>
      </c>
      <c r="E88" s="242">
        <v>160</v>
      </c>
      <c r="F88" s="242">
        <v>160</v>
      </c>
      <c r="G88" s="242">
        <v>170</v>
      </c>
      <c r="H88" s="242">
        <v>160</v>
      </c>
      <c r="I88" s="242">
        <v>140</v>
      </c>
      <c r="J88" s="242">
        <v>110</v>
      </c>
      <c r="K88" s="242">
        <v>160</v>
      </c>
      <c r="L88" s="337">
        <v>190</v>
      </c>
      <c r="M88" s="337">
        <v>210</v>
      </c>
      <c r="N88" s="337">
        <v>130</v>
      </c>
      <c r="AA88" s="155"/>
      <c r="AB88" s="155"/>
      <c r="AC88" s="155"/>
      <c r="AD88" s="155"/>
      <c r="AE88" s="155"/>
      <c r="AF88" s="155"/>
      <c r="AG88" s="155"/>
      <c r="AH88" s="148"/>
      <c r="AI88" s="148"/>
    </row>
    <row r="89" spans="1:35" ht="15" customHeight="1">
      <c r="A89" s="110"/>
      <c r="B89" s="243">
        <v>2.1000000000000001E-2</v>
      </c>
      <c r="C89" s="243">
        <v>0.02</v>
      </c>
      <c r="D89" s="243">
        <v>2.2000000000000002E-2</v>
      </c>
      <c r="E89" s="243">
        <v>2.3E-2</v>
      </c>
      <c r="F89" s="243">
        <v>2.3E-2</v>
      </c>
      <c r="G89" s="243">
        <v>2.5000000000000001E-2</v>
      </c>
      <c r="H89" s="243">
        <v>2.3E-2</v>
      </c>
      <c r="I89" s="243">
        <v>0.02</v>
      </c>
      <c r="J89" s="243">
        <v>1.6E-2</v>
      </c>
      <c r="K89" s="243">
        <v>2.2000000000000002E-2</v>
      </c>
      <c r="L89" s="338">
        <v>2.7000000000000003E-2</v>
      </c>
      <c r="M89" s="338">
        <v>2.8999999999999998E-2</v>
      </c>
      <c r="N89" s="338">
        <v>1.8000000000000002E-2</v>
      </c>
      <c r="AA89" s="156"/>
      <c r="AB89" s="156"/>
      <c r="AC89" s="156"/>
      <c r="AD89" s="156"/>
      <c r="AE89" s="156"/>
      <c r="AF89" s="156"/>
      <c r="AG89" s="156"/>
      <c r="AH89" s="148"/>
      <c r="AI89" s="148"/>
    </row>
    <row r="90" spans="1:35" ht="15" customHeight="1">
      <c r="A90" s="110" t="s">
        <v>548</v>
      </c>
      <c r="B90" s="242"/>
      <c r="C90" s="242"/>
      <c r="D90" s="242"/>
      <c r="E90" s="242"/>
      <c r="F90" s="242"/>
      <c r="G90" s="242"/>
      <c r="H90" s="242"/>
      <c r="I90" s="242"/>
      <c r="J90" s="242"/>
      <c r="K90" s="242"/>
      <c r="L90" s="337"/>
      <c r="M90" s="337"/>
      <c r="N90" s="337"/>
      <c r="AA90" s="155"/>
      <c r="AB90" s="155"/>
      <c r="AC90" s="155"/>
      <c r="AD90" s="155"/>
      <c r="AE90" s="155"/>
      <c r="AF90" s="155"/>
      <c r="AG90" s="155"/>
      <c r="AH90" s="149"/>
      <c r="AI90" s="149"/>
    </row>
    <row r="91" spans="1:35" ht="15" customHeight="1">
      <c r="A91" s="110"/>
      <c r="B91" s="242">
        <v>7270</v>
      </c>
      <c r="C91" s="242">
        <v>7260</v>
      </c>
      <c r="D91" s="242">
        <v>7300</v>
      </c>
      <c r="E91" s="242">
        <v>7260</v>
      </c>
      <c r="F91" s="242">
        <v>7280</v>
      </c>
      <c r="G91" s="242">
        <v>7180</v>
      </c>
      <c r="H91" s="242">
        <v>7360</v>
      </c>
      <c r="I91" s="242">
        <v>7330</v>
      </c>
      <c r="J91" s="242">
        <v>7340</v>
      </c>
      <c r="K91" s="242">
        <v>7440</v>
      </c>
      <c r="L91" s="337">
        <v>7380</v>
      </c>
      <c r="M91" s="337">
        <v>7500</v>
      </c>
      <c r="N91" s="337">
        <v>7390</v>
      </c>
      <c r="AA91" s="155"/>
      <c r="AB91" s="155"/>
      <c r="AC91" s="155"/>
      <c r="AD91" s="155"/>
      <c r="AE91" s="155"/>
      <c r="AF91" s="155"/>
      <c r="AG91" s="155"/>
      <c r="AH91" s="148"/>
      <c r="AI91" s="148"/>
    </row>
    <row r="92" spans="1:35" ht="15" customHeight="1">
      <c r="A92" s="110"/>
      <c r="B92" s="242">
        <v>7110</v>
      </c>
      <c r="C92" s="242">
        <v>7100</v>
      </c>
      <c r="D92" s="242">
        <v>7120</v>
      </c>
      <c r="E92" s="242">
        <v>7080</v>
      </c>
      <c r="F92" s="242">
        <v>7120</v>
      </c>
      <c r="G92" s="242">
        <v>6990</v>
      </c>
      <c r="H92" s="242">
        <v>7180</v>
      </c>
      <c r="I92" s="242">
        <v>7180</v>
      </c>
      <c r="J92" s="242">
        <v>7210</v>
      </c>
      <c r="K92" s="242">
        <v>7280</v>
      </c>
      <c r="L92" s="337">
        <v>7180</v>
      </c>
      <c r="M92" s="337">
        <v>7280</v>
      </c>
      <c r="N92" s="337">
        <v>7250</v>
      </c>
      <c r="AA92" s="155"/>
      <c r="AB92" s="155"/>
      <c r="AC92" s="155"/>
      <c r="AD92" s="155"/>
      <c r="AE92" s="155"/>
      <c r="AF92" s="155"/>
      <c r="AG92" s="155"/>
      <c r="AH92" s="148"/>
      <c r="AI92" s="148"/>
    </row>
    <row r="93" spans="1:35" ht="15" customHeight="1">
      <c r="A93" s="110"/>
      <c r="B93" s="242">
        <v>160</v>
      </c>
      <c r="C93" s="242">
        <v>160</v>
      </c>
      <c r="D93" s="242">
        <v>180</v>
      </c>
      <c r="E93" s="242">
        <v>180</v>
      </c>
      <c r="F93" s="242">
        <v>160</v>
      </c>
      <c r="G93" s="242">
        <v>190</v>
      </c>
      <c r="H93" s="242">
        <v>180</v>
      </c>
      <c r="I93" s="242">
        <v>150</v>
      </c>
      <c r="J93" s="242">
        <v>130</v>
      </c>
      <c r="K93" s="242">
        <v>160</v>
      </c>
      <c r="L93" s="337">
        <v>200</v>
      </c>
      <c r="M93" s="337">
        <v>220</v>
      </c>
      <c r="N93" s="337">
        <v>140</v>
      </c>
      <c r="AA93" s="155"/>
      <c r="AB93" s="155"/>
      <c r="AC93" s="155"/>
      <c r="AD93" s="155"/>
      <c r="AE93" s="155"/>
      <c r="AF93" s="155"/>
      <c r="AG93" s="155"/>
      <c r="AH93" s="148"/>
      <c r="AI93" s="148"/>
    </row>
    <row r="94" spans="1:35" ht="15" customHeight="1">
      <c r="A94" s="110"/>
      <c r="B94" s="243">
        <v>2.2000000000000002E-2</v>
      </c>
      <c r="C94" s="243">
        <v>2.1000000000000001E-2</v>
      </c>
      <c r="D94" s="243">
        <v>2.4E-2</v>
      </c>
      <c r="E94" s="243">
        <v>2.4E-2</v>
      </c>
      <c r="F94" s="243">
        <v>2.2000000000000002E-2</v>
      </c>
      <c r="G94" s="243">
        <v>2.6000000000000002E-2</v>
      </c>
      <c r="H94" s="243">
        <v>2.5000000000000001E-2</v>
      </c>
      <c r="I94" s="243">
        <v>0.02</v>
      </c>
      <c r="J94" s="243">
        <v>1.7000000000000001E-2</v>
      </c>
      <c r="K94" s="243">
        <v>2.2000000000000002E-2</v>
      </c>
      <c r="L94" s="338">
        <v>2.7000000000000003E-2</v>
      </c>
      <c r="M94" s="338">
        <v>2.8999999999999998E-2</v>
      </c>
      <c r="N94" s="338">
        <v>1.9E-2</v>
      </c>
      <c r="AA94" s="156"/>
      <c r="AB94" s="156"/>
      <c r="AC94" s="156"/>
      <c r="AD94" s="156"/>
      <c r="AE94" s="156"/>
      <c r="AF94" s="156"/>
      <c r="AG94" s="156"/>
      <c r="AH94" s="148"/>
      <c r="AI94" s="148"/>
    </row>
    <row r="95" spans="1:35" ht="15" customHeight="1">
      <c r="A95" s="110" t="s">
        <v>345</v>
      </c>
      <c r="B95" s="242"/>
      <c r="C95" s="242"/>
      <c r="D95" s="242"/>
      <c r="E95" s="242"/>
      <c r="F95" s="242"/>
      <c r="G95" s="242"/>
      <c r="H95" s="242"/>
      <c r="I95" s="242"/>
      <c r="J95" s="242"/>
      <c r="K95" s="242"/>
      <c r="L95" s="337"/>
      <c r="M95" s="337"/>
      <c r="N95" s="337"/>
      <c r="AA95" s="155"/>
      <c r="AB95" s="155"/>
      <c r="AC95" s="155"/>
      <c r="AD95" s="155"/>
      <c r="AE95" s="155"/>
      <c r="AF95" s="155"/>
      <c r="AG95" s="155"/>
      <c r="AH95" s="149"/>
      <c r="AI95" s="149"/>
    </row>
    <row r="96" spans="1:35" ht="15" customHeight="1">
      <c r="A96" s="110"/>
      <c r="B96" s="242">
        <v>2440</v>
      </c>
      <c r="C96" s="242">
        <v>2460</v>
      </c>
      <c r="D96" s="242">
        <v>2420</v>
      </c>
      <c r="E96" s="242">
        <v>2440</v>
      </c>
      <c r="F96" s="242">
        <v>2430</v>
      </c>
      <c r="G96" s="242">
        <v>2350</v>
      </c>
      <c r="H96" s="242">
        <v>2410</v>
      </c>
      <c r="I96" s="242">
        <v>2340</v>
      </c>
      <c r="J96" s="242">
        <v>2400</v>
      </c>
      <c r="K96" s="242">
        <v>2410</v>
      </c>
      <c r="L96" s="337">
        <v>2400</v>
      </c>
      <c r="M96" s="337">
        <v>2440</v>
      </c>
      <c r="N96" s="337">
        <v>2490</v>
      </c>
      <c r="AA96" s="155"/>
      <c r="AB96" s="155"/>
      <c r="AC96" s="155"/>
      <c r="AD96" s="155"/>
      <c r="AE96" s="155"/>
      <c r="AF96" s="155"/>
      <c r="AG96" s="155"/>
      <c r="AH96" s="148"/>
      <c r="AI96" s="148"/>
    </row>
    <row r="97" spans="1:35" ht="15" customHeight="1">
      <c r="A97" s="110"/>
      <c r="B97" s="242">
        <v>2380</v>
      </c>
      <c r="C97" s="242">
        <v>2390</v>
      </c>
      <c r="D97" s="242">
        <v>2330</v>
      </c>
      <c r="E97" s="242">
        <v>2340</v>
      </c>
      <c r="F97" s="242">
        <v>2340</v>
      </c>
      <c r="G97" s="242">
        <v>2250</v>
      </c>
      <c r="H97" s="242">
        <v>2300</v>
      </c>
      <c r="I97" s="242">
        <v>2250</v>
      </c>
      <c r="J97" s="242">
        <v>2320</v>
      </c>
      <c r="K97" s="242">
        <v>2350</v>
      </c>
      <c r="L97" s="337">
        <v>2320</v>
      </c>
      <c r="M97" s="337">
        <v>2350</v>
      </c>
      <c r="N97" s="337">
        <v>2430</v>
      </c>
      <c r="AA97" s="155"/>
      <c r="AB97" s="155"/>
      <c r="AC97" s="155"/>
      <c r="AD97" s="155"/>
      <c r="AE97" s="155"/>
      <c r="AF97" s="155"/>
      <c r="AG97" s="155"/>
      <c r="AH97" s="148"/>
      <c r="AI97" s="148"/>
    </row>
    <row r="98" spans="1:35" ht="15" customHeight="1">
      <c r="A98" s="110"/>
      <c r="B98" s="242">
        <v>60</v>
      </c>
      <c r="C98" s="242">
        <v>70</v>
      </c>
      <c r="D98" s="242">
        <v>90</v>
      </c>
      <c r="E98" s="242">
        <v>100</v>
      </c>
      <c r="F98" s="242">
        <v>90</v>
      </c>
      <c r="G98" s="242">
        <v>100</v>
      </c>
      <c r="H98" s="242">
        <v>110</v>
      </c>
      <c r="I98" s="242">
        <v>90</v>
      </c>
      <c r="J98" s="242">
        <v>80</v>
      </c>
      <c r="K98" s="242">
        <v>60</v>
      </c>
      <c r="L98" s="337">
        <v>80</v>
      </c>
      <c r="M98" s="337">
        <v>90</v>
      </c>
      <c r="N98" s="337">
        <v>60</v>
      </c>
      <c r="AA98" s="155"/>
      <c r="AB98" s="155"/>
      <c r="AC98" s="155"/>
      <c r="AD98" s="155"/>
      <c r="AE98" s="155"/>
      <c r="AF98" s="155"/>
      <c r="AG98" s="155"/>
      <c r="AH98" s="148"/>
      <c r="AI98" s="148"/>
    </row>
    <row r="99" spans="1:35" ht="15" customHeight="1">
      <c r="A99" s="110"/>
      <c r="B99" s="243">
        <v>2.6000000000000002E-2</v>
      </c>
      <c r="C99" s="243">
        <v>2.8999999999999998E-2</v>
      </c>
      <c r="D99" s="243">
        <v>3.6000000000000004E-2</v>
      </c>
      <c r="E99" s="243">
        <v>3.9E-2</v>
      </c>
      <c r="F99" s="243">
        <v>3.6000000000000004E-2</v>
      </c>
      <c r="G99" s="243">
        <v>4.4000000000000004E-2</v>
      </c>
      <c r="H99" s="243">
        <v>4.7E-2</v>
      </c>
      <c r="I99" s="243">
        <v>3.9E-2</v>
      </c>
      <c r="J99" s="243">
        <v>3.5000000000000003E-2</v>
      </c>
      <c r="K99" s="243">
        <v>2.7000000000000003E-2</v>
      </c>
      <c r="L99" s="338">
        <v>3.2000000000000001E-2</v>
      </c>
      <c r="M99" s="338">
        <v>3.5000000000000003E-2</v>
      </c>
      <c r="N99" s="338">
        <v>2.2000000000000002E-2</v>
      </c>
      <c r="AA99" s="156"/>
      <c r="AB99" s="156"/>
      <c r="AC99" s="156"/>
      <c r="AD99" s="156"/>
      <c r="AE99" s="156"/>
      <c r="AF99" s="156"/>
      <c r="AG99" s="156"/>
      <c r="AH99" s="148"/>
      <c r="AI99" s="148"/>
    </row>
    <row r="100" spans="1:35" ht="15" customHeight="1">
      <c r="A100" s="110" t="s">
        <v>119</v>
      </c>
      <c r="B100" s="242"/>
      <c r="C100" s="242"/>
      <c r="D100" s="242"/>
      <c r="E100" s="242"/>
      <c r="F100" s="242"/>
      <c r="G100" s="242"/>
      <c r="H100" s="242"/>
      <c r="I100" s="242"/>
      <c r="J100" s="242"/>
      <c r="K100" s="242"/>
      <c r="L100" s="337"/>
      <c r="M100" s="337"/>
      <c r="N100" s="337"/>
      <c r="AA100" s="155"/>
      <c r="AB100" s="155"/>
      <c r="AC100" s="155"/>
      <c r="AD100" s="155"/>
      <c r="AE100" s="155"/>
      <c r="AF100" s="155"/>
      <c r="AG100" s="155"/>
      <c r="AH100" s="149"/>
      <c r="AI100" s="149"/>
    </row>
    <row r="101" spans="1:35" ht="15" customHeight="1">
      <c r="A101" s="110"/>
      <c r="B101" s="242">
        <v>3030</v>
      </c>
      <c r="C101" s="242">
        <v>3040</v>
      </c>
      <c r="D101" s="242">
        <v>2990</v>
      </c>
      <c r="E101" s="242">
        <v>3000</v>
      </c>
      <c r="F101" s="242">
        <v>3010</v>
      </c>
      <c r="G101" s="242">
        <v>2950</v>
      </c>
      <c r="H101" s="242">
        <v>3000</v>
      </c>
      <c r="I101" s="242">
        <v>2910</v>
      </c>
      <c r="J101" s="242">
        <v>2970</v>
      </c>
      <c r="K101" s="242">
        <v>2990</v>
      </c>
      <c r="L101" s="337">
        <v>2970</v>
      </c>
      <c r="M101" s="337">
        <v>3020</v>
      </c>
      <c r="N101" s="337">
        <v>3060</v>
      </c>
      <c r="AA101" s="155"/>
      <c r="AB101" s="155"/>
      <c r="AC101" s="155"/>
      <c r="AD101" s="155"/>
      <c r="AE101" s="155"/>
      <c r="AF101" s="155"/>
      <c r="AG101" s="155"/>
      <c r="AH101" s="148"/>
      <c r="AI101" s="148"/>
    </row>
    <row r="102" spans="1:35" ht="15" customHeight="1">
      <c r="A102" s="110"/>
      <c r="B102" s="242">
        <v>2950</v>
      </c>
      <c r="C102" s="242">
        <v>2950</v>
      </c>
      <c r="D102" s="242">
        <v>2890</v>
      </c>
      <c r="E102" s="242">
        <v>2890</v>
      </c>
      <c r="F102" s="242">
        <v>2900</v>
      </c>
      <c r="G102" s="242">
        <v>2820</v>
      </c>
      <c r="H102" s="242">
        <v>2860</v>
      </c>
      <c r="I102" s="242">
        <v>2790</v>
      </c>
      <c r="J102" s="242">
        <v>2870</v>
      </c>
      <c r="K102" s="242">
        <v>2910</v>
      </c>
      <c r="L102" s="337">
        <v>2870</v>
      </c>
      <c r="M102" s="337">
        <v>2910</v>
      </c>
      <c r="N102" s="337">
        <v>2980</v>
      </c>
      <c r="AA102" s="155"/>
      <c r="AB102" s="155"/>
      <c r="AC102" s="155"/>
      <c r="AD102" s="155"/>
      <c r="AE102" s="155"/>
      <c r="AF102" s="155"/>
      <c r="AG102" s="155"/>
      <c r="AH102" s="148"/>
      <c r="AI102" s="148"/>
    </row>
    <row r="103" spans="1:35" ht="15" customHeight="1">
      <c r="A103" s="110"/>
      <c r="B103" s="242">
        <v>80</v>
      </c>
      <c r="C103" s="242">
        <v>90</v>
      </c>
      <c r="D103" s="242">
        <v>100</v>
      </c>
      <c r="E103" s="242">
        <v>110</v>
      </c>
      <c r="F103" s="242">
        <v>110</v>
      </c>
      <c r="G103" s="242">
        <v>130</v>
      </c>
      <c r="H103" s="242">
        <v>140</v>
      </c>
      <c r="I103" s="242">
        <v>120</v>
      </c>
      <c r="J103" s="242">
        <v>100</v>
      </c>
      <c r="K103" s="242">
        <v>80</v>
      </c>
      <c r="L103" s="337">
        <v>100</v>
      </c>
      <c r="M103" s="337">
        <v>110</v>
      </c>
      <c r="N103" s="337">
        <v>80</v>
      </c>
      <c r="AA103" s="155"/>
      <c r="AB103" s="155"/>
      <c r="AC103" s="155"/>
      <c r="AD103" s="155"/>
      <c r="AE103" s="155"/>
      <c r="AF103" s="155"/>
      <c r="AG103" s="155"/>
      <c r="AH103" s="148"/>
      <c r="AI103" s="148"/>
    </row>
    <row r="104" spans="1:35" ht="15" customHeight="1">
      <c r="A104" s="110"/>
      <c r="B104" s="243">
        <v>2.5000000000000001E-2</v>
      </c>
      <c r="C104" s="243">
        <v>2.7999999999999997E-2</v>
      </c>
      <c r="D104" s="243">
        <v>3.4000000000000002E-2</v>
      </c>
      <c r="E104" s="243">
        <v>3.7999999999999999E-2</v>
      </c>
      <c r="F104" s="243">
        <v>3.7000000000000005E-2</v>
      </c>
      <c r="G104" s="243">
        <v>4.4000000000000004E-2</v>
      </c>
      <c r="H104" s="243">
        <v>4.4999999999999998E-2</v>
      </c>
      <c r="I104" s="243">
        <v>0.04</v>
      </c>
      <c r="J104" s="243">
        <v>3.4000000000000002E-2</v>
      </c>
      <c r="K104" s="243">
        <v>2.7000000000000003E-2</v>
      </c>
      <c r="L104" s="338">
        <v>3.3000000000000002E-2</v>
      </c>
      <c r="M104" s="338">
        <v>3.6000000000000004E-2</v>
      </c>
      <c r="N104" s="338">
        <v>2.5000000000000001E-2</v>
      </c>
      <c r="AA104" s="156"/>
      <c r="AB104" s="156"/>
      <c r="AC104" s="156"/>
      <c r="AD104" s="156"/>
      <c r="AE104" s="156"/>
      <c r="AF104" s="156"/>
      <c r="AG104" s="156"/>
      <c r="AH104" s="148"/>
      <c r="AI104" s="148"/>
    </row>
    <row r="105" spans="1:35" ht="15" customHeight="1">
      <c r="A105" s="110" t="s">
        <v>121</v>
      </c>
      <c r="B105" s="242"/>
      <c r="C105" s="242"/>
      <c r="D105" s="242"/>
      <c r="E105" s="242"/>
      <c r="F105" s="242"/>
      <c r="G105" s="242"/>
      <c r="H105" s="242"/>
      <c r="I105" s="242"/>
      <c r="J105" s="242"/>
      <c r="K105" s="242"/>
      <c r="L105" s="337"/>
      <c r="M105" s="337"/>
      <c r="N105" s="337"/>
      <c r="AA105" s="155"/>
      <c r="AB105" s="155"/>
      <c r="AC105" s="155"/>
      <c r="AD105" s="155"/>
      <c r="AE105" s="155"/>
      <c r="AF105" s="155"/>
      <c r="AG105" s="155"/>
      <c r="AH105" s="149"/>
      <c r="AI105" s="149"/>
    </row>
    <row r="106" spans="1:35" ht="15" customHeight="1">
      <c r="A106" s="110"/>
      <c r="B106" s="242">
        <v>46860</v>
      </c>
      <c r="C106" s="242">
        <v>47100</v>
      </c>
      <c r="D106" s="242">
        <v>47430</v>
      </c>
      <c r="E106" s="242">
        <v>46990</v>
      </c>
      <c r="F106" s="242">
        <v>47310</v>
      </c>
      <c r="G106" s="242">
        <v>46910</v>
      </c>
      <c r="H106" s="242">
        <v>47640</v>
      </c>
      <c r="I106" s="242">
        <v>47700</v>
      </c>
      <c r="J106" s="242">
        <v>47500</v>
      </c>
      <c r="K106" s="242">
        <v>48130</v>
      </c>
      <c r="L106" s="337">
        <v>47900</v>
      </c>
      <c r="M106" s="337">
        <v>47980</v>
      </c>
      <c r="N106" s="337">
        <v>47600</v>
      </c>
      <c r="AA106" s="155"/>
      <c r="AB106" s="155"/>
      <c r="AC106" s="155"/>
      <c r="AD106" s="155"/>
      <c r="AE106" s="155"/>
      <c r="AF106" s="155"/>
      <c r="AG106" s="155"/>
      <c r="AH106" s="148"/>
      <c r="AI106" s="148"/>
    </row>
    <row r="107" spans="1:35" ht="15" customHeight="1">
      <c r="A107" s="110"/>
      <c r="B107" s="242">
        <v>45830</v>
      </c>
      <c r="C107" s="242">
        <v>46150</v>
      </c>
      <c r="D107" s="242">
        <v>46400</v>
      </c>
      <c r="E107" s="242">
        <v>45940</v>
      </c>
      <c r="F107" s="242">
        <v>46300</v>
      </c>
      <c r="G107" s="242">
        <v>45810</v>
      </c>
      <c r="H107" s="242">
        <v>46540</v>
      </c>
      <c r="I107" s="242">
        <v>46770</v>
      </c>
      <c r="J107" s="242">
        <v>46730</v>
      </c>
      <c r="K107" s="242">
        <v>47100</v>
      </c>
      <c r="L107" s="337">
        <v>46660</v>
      </c>
      <c r="M107" s="337">
        <v>46670</v>
      </c>
      <c r="N107" s="337">
        <v>46720</v>
      </c>
      <c r="AA107" s="155"/>
      <c r="AB107" s="155"/>
      <c r="AC107" s="155"/>
      <c r="AD107" s="155"/>
      <c r="AE107" s="155"/>
      <c r="AF107" s="155"/>
      <c r="AG107" s="155"/>
      <c r="AH107" s="148"/>
      <c r="AI107" s="148"/>
    </row>
    <row r="108" spans="1:35" ht="15" customHeight="1">
      <c r="A108" s="110"/>
      <c r="B108" s="242">
        <v>1030</v>
      </c>
      <c r="C108" s="242">
        <v>950</v>
      </c>
      <c r="D108" s="242">
        <v>1030</v>
      </c>
      <c r="E108" s="242">
        <v>1050</v>
      </c>
      <c r="F108" s="242">
        <v>1010</v>
      </c>
      <c r="G108" s="242">
        <v>1100</v>
      </c>
      <c r="H108" s="242">
        <v>1100</v>
      </c>
      <c r="I108" s="242">
        <v>930</v>
      </c>
      <c r="J108" s="242">
        <v>770</v>
      </c>
      <c r="K108" s="242">
        <v>1030</v>
      </c>
      <c r="L108" s="337">
        <v>1240</v>
      </c>
      <c r="M108" s="337">
        <v>1310</v>
      </c>
      <c r="N108" s="337">
        <v>880</v>
      </c>
      <c r="AA108" s="155"/>
      <c r="AB108" s="155"/>
      <c r="AC108" s="155"/>
      <c r="AD108" s="155"/>
      <c r="AE108" s="155"/>
      <c r="AF108" s="155"/>
      <c r="AG108" s="155"/>
      <c r="AH108" s="148"/>
      <c r="AI108" s="148"/>
    </row>
    <row r="109" spans="1:35" ht="15" customHeight="1">
      <c r="A109" s="110"/>
      <c r="B109" s="243">
        <v>2.2000000000000002E-2</v>
      </c>
      <c r="C109" s="243">
        <v>0.02</v>
      </c>
      <c r="D109" s="243">
        <v>2.2000000000000002E-2</v>
      </c>
      <c r="E109" s="243">
        <v>2.2000000000000002E-2</v>
      </c>
      <c r="F109" s="243">
        <v>2.1000000000000001E-2</v>
      </c>
      <c r="G109" s="243">
        <v>2.4E-2</v>
      </c>
      <c r="H109" s="243">
        <v>2.3E-2</v>
      </c>
      <c r="I109" s="243">
        <v>0.02</v>
      </c>
      <c r="J109" s="243">
        <v>1.6E-2</v>
      </c>
      <c r="K109" s="243">
        <v>2.1000000000000001E-2</v>
      </c>
      <c r="L109" s="338">
        <v>2.6000000000000002E-2</v>
      </c>
      <c r="M109" s="338">
        <v>2.7000000000000003E-2</v>
      </c>
      <c r="N109" s="338">
        <v>1.8000000000000002E-2</v>
      </c>
      <c r="AA109" s="156"/>
      <c r="AB109" s="156"/>
      <c r="AC109" s="156"/>
      <c r="AD109" s="156"/>
      <c r="AE109" s="156"/>
      <c r="AF109" s="156"/>
      <c r="AG109" s="156"/>
      <c r="AH109" s="148"/>
      <c r="AI109" s="148"/>
    </row>
    <row r="110" spans="1:35" ht="15" customHeight="1">
      <c r="A110" s="110" t="s">
        <v>346</v>
      </c>
      <c r="B110" s="242"/>
      <c r="C110" s="242"/>
      <c r="D110" s="242"/>
      <c r="E110" s="242"/>
      <c r="F110" s="242"/>
      <c r="G110" s="242"/>
      <c r="H110" s="242"/>
      <c r="I110" s="242"/>
      <c r="J110" s="242"/>
      <c r="K110" s="242"/>
      <c r="L110" s="337"/>
      <c r="M110" s="337"/>
      <c r="N110" s="337"/>
      <c r="AA110" s="155"/>
      <c r="AB110" s="155"/>
      <c r="AC110" s="155"/>
      <c r="AD110" s="155"/>
      <c r="AE110" s="155"/>
      <c r="AF110" s="155"/>
      <c r="AG110" s="155"/>
      <c r="AH110" s="149"/>
      <c r="AI110" s="149"/>
    </row>
    <row r="111" spans="1:35" ht="15" customHeight="1">
      <c r="A111" s="110"/>
      <c r="B111" s="242">
        <v>11640</v>
      </c>
      <c r="C111" s="242">
        <v>11460</v>
      </c>
      <c r="D111" s="242">
        <v>11250</v>
      </c>
      <c r="E111" s="242">
        <v>11620</v>
      </c>
      <c r="F111" s="242">
        <v>11790</v>
      </c>
      <c r="G111" s="242">
        <v>11640</v>
      </c>
      <c r="H111" s="242">
        <v>11630</v>
      </c>
      <c r="I111" s="242">
        <v>11050</v>
      </c>
      <c r="J111" s="242">
        <v>11210</v>
      </c>
      <c r="K111" s="242">
        <v>11930</v>
      </c>
      <c r="L111" s="337">
        <v>12450</v>
      </c>
      <c r="M111" s="337">
        <v>12600</v>
      </c>
      <c r="N111" s="337">
        <v>11710</v>
      </c>
      <c r="AA111" s="155"/>
      <c r="AB111" s="155"/>
      <c r="AC111" s="155"/>
      <c r="AD111" s="155"/>
      <c r="AE111" s="155"/>
      <c r="AF111" s="155"/>
      <c r="AG111" s="155"/>
      <c r="AH111" s="148"/>
      <c r="AI111" s="148"/>
    </row>
    <row r="112" spans="1:35" ht="15" customHeight="1">
      <c r="A112" s="110"/>
      <c r="B112" s="242">
        <v>11350</v>
      </c>
      <c r="C112" s="242">
        <v>11190</v>
      </c>
      <c r="D112" s="242">
        <v>10950</v>
      </c>
      <c r="E112" s="242">
        <v>11290</v>
      </c>
      <c r="F112" s="242">
        <v>11500</v>
      </c>
      <c r="G112" s="242">
        <v>11310</v>
      </c>
      <c r="H112" s="242">
        <v>11310</v>
      </c>
      <c r="I112" s="242">
        <v>10790</v>
      </c>
      <c r="J112" s="242">
        <v>11000</v>
      </c>
      <c r="K112" s="242">
        <v>11670</v>
      </c>
      <c r="L112" s="337">
        <v>12140</v>
      </c>
      <c r="M112" s="337">
        <v>12260</v>
      </c>
      <c r="N112" s="337">
        <v>11490</v>
      </c>
      <c r="AA112" s="155"/>
      <c r="AB112" s="155"/>
      <c r="AC112" s="155"/>
      <c r="AD112" s="155"/>
      <c r="AE112" s="155"/>
      <c r="AF112" s="155"/>
      <c r="AG112" s="155"/>
      <c r="AH112" s="148"/>
      <c r="AI112" s="148"/>
    </row>
    <row r="113" spans="1:35" ht="15" customHeight="1">
      <c r="A113" s="110"/>
      <c r="B113" s="242">
        <v>290</v>
      </c>
      <c r="C113" s="242">
        <v>270</v>
      </c>
      <c r="D113" s="242">
        <v>300</v>
      </c>
      <c r="E113" s="242">
        <v>330</v>
      </c>
      <c r="F113" s="242">
        <v>290</v>
      </c>
      <c r="G113" s="242">
        <v>330</v>
      </c>
      <c r="H113" s="242">
        <v>320</v>
      </c>
      <c r="I113" s="242">
        <v>260</v>
      </c>
      <c r="J113" s="242">
        <v>210</v>
      </c>
      <c r="K113" s="242">
        <v>260</v>
      </c>
      <c r="L113" s="337">
        <v>310</v>
      </c>
      <c r="M113" s="337">
        <v>340</v>
      </c>
      <c r="N113" s="337">
        <v>220</v>
      </c>
      <c r="AA113" s="155"/>
      <c r="AB113" s="155"/>
      <c r="AC113" s="155"/>
      <c r="AD113" s="155"/>
      <c r="AE113" s="155"/>
      <c r="AF113" s="155"/>
      <c r="AG113" s="155"/>
      <c r="AH113" s="148"/>
      <c r="AI113" s="148"/>
    </row>
    <row r="114" spans="1:35" ht="15" customHeight="1">
      <c r="A114" s="110"/>
      <c r="B114" s="243">
        <v>2.4E-2</v>
      </c>
      <c r="C114" s="243">
        <v>2.3E-2</v>
      </c>
      <c r="D114" s="243">
        <v>2.6000000000000002E-2</v>
      </c>
      <c r="E114" s="243">
        <v>2.7999999999999997E-2</v>
      </c>
      <c r="F114" s="243">
        <v>2.4E-2</v>
      </c>
      <c r="G114" s="243">
        <v>2.8999999999999998E-2</v>
      </c>
      <c r="H114" s="243">
        <v>2.7000000000000003E-2</v>
      </c>
      <c r="I114" s="243">
        <v>2.4E-2</v>
      </c>
      <c r="J114" s="243">
        <v>1.8000000000000002E-2</v>
      </c>
      <c r="K114" s="243">
        <v>2.1000000000000001E-2</v>
      </c>
      <c r="L114" s="338">
        <v>2.5000000000000001E-2</v>
      </c>
      <c r="M114" s="338">
        <v>2.7000000000000003E-2</v>
      </c>
      <c r="N114" s="338">
        <v>1.9E-2</v>
      </c>
      <c r="AA114" s="156"/>
      <c r="AB114" s="156"/>
      <c r="AC114" s="156"/>
      <c r="AD114" s="156"/>
      <c r="AE114" s="156"/>
      <c r="AF114" s="156"/>
      <c r="AG114" s="156"/>
      <c r="AH114" s="148"/>
      <c r="AI114" s="148"/>
    </row>
    <row r="115" spans="1:35" ht="15" customHeight="1">
      <c r="A115" s="110" t="s">
        <v>355</v>
      </c>
      <c r="B115" s="242"/>
      <c r="C115" s="242"/>
      <c r="D115" s="242"/>
      <c r="E115" s="242"/>
      <c r="F115" s="242"/>
      <c r="G115" s="242"/>
      <c r="H115" s="242"/>
      <c r="I115" s="242"/>
      <c r="J115" s="242"/>
      <c r="K115" s="242"/>
      <c r="L115" s="337"/>
      <c r="M115" s="337"/>
      <c r="N115" s="337"/>
      <c r="AA115" s="155"/>
      <c r="AB115" s="155"/>
      <c r="AC115" s="155"/>
      <c r="AD115" s="155"/>
      <c r="AE115" s="155"/>
      <c r="AF115" s="155"/>
      <c r="AG115" s="155"/>
      <c r="AH115" s="149"/>
      <c r="AI115" s="149"/>
    </row>
    <row r="116" spans="1:35" ht="15" customHeight="1">
      <c r="A116" s="110"/>
      <c r="B116" s="242">
        <v>15420</v>
      </c>
      <c r="C116" s="242">
        <v>15460</v>
      </c>
      <c r="D116" s="242">
        <v>14850</v>
      </c>
      <c r="E116" s="242">
        <v>15210</v>
      </c>
      <c r="F116" s="242">
        <v>15420</v>
      </c>
      <c r="G116" s="242">
        <v>15290</v>
      </c>
      <c r="H116" s="242">
        <v>15330</v>
      </c>
      <c r="I116" s="242">
        <v>14790</v>
      </c>
      <c r="J116" s="242">
        <v>15040</v>
      </c>
      <c r="K116" s="242">
        <v>16020</v>
      </c>
      <c r="L116" s="337">
        <v>16770</v>
      </c>
      <c r="M116" s="337">
        <v>16840</v>
      </c>
      <c r="N116" s="337">
        <v>15610</v>
      </c>
      <c r="AA116" s="155"/>
      <c r="AB116" s="155"/>
      <c r="AC116" s="155"/>
      <c r="AD116" s="155"/>
      <c r="AE116" s="155"/>
      <c r="AF116" s="155"/>
      <c r="AG116" s="155"/>
      <c r="AH116" s="148"/>
      <c r="AI116" s="148"/>
    </row>
    <row r="117" spans="1:35" ht="15" customHeight="1">
      <c r="A117" s="110"/>
      <c r="B117" s="242">
        <v>15020</v>
      </c>
      <c r="C117" s="242">
        <v>15080</v>
      </c>
      <c r="D117" s="242">
        <v>14430</v>
      </c>
      <c r="E117" s="242">
        <v>14770</v>
      </c>
      <c r="F117" s="242">
        <v>15030</v>
      </c>
      <c r="G117" s="242">
        <v>14850</v>
      </c>
      <c r="H117" s="242">
        <v>14900</v>
      </c>
      <c r="I117" s="242">
        <v>14430</v>
      </c>
      <c r="J117" s="242">
        <v>14730</v>
      </c>
      <c r="K117" s="242">
        <v>15660</v>
      </c>
      <c r="L117" s="337">
        <v>16360</v>
      </c>
      <c r="M117" s="337">
        <v>16390</v>
      </c>
      <c r="N117" s="337">
        <v>15290</v>
      </c>
      <c r="AA117" s="155"/>
      <c r="AB117" s="155"/>
      <c r="AC117" s="155"/>
      <c r="AD117" s="155"/>
      <c r="AE117" s="155"/>
      <c r="AF117" s="155"/>
      <c r="AG117" s="155"/>
      <c r="AH117" s="148"/>
      <c r="AI117" s="148"/>
    </row>
    <row r="118" spans="1:35" ht="15" customHeight="1">
      <c r="A118" s="110"/>
      <c r="B118" s="242">
        <v>400</v>
      </c>
      <c r="C118" s="242">
        <v>380</v>
      </c>
      <c r="D118" s="242">
        <v>420</v>
      </c>
      <c r="E118" s="242">
        <v>440</v>
      </c>
      <c r="F118" s="242">
        <v>390</v>
      </c>
      <c r="G118" s="242">
        <v>440</v>
      </c>
      <c r="H118" s="242">
        <v>430</v>
      </c>
      <c r="I118" s="242">
        <v>360</v>
      </c>
      <c r="J118" s="242">
        <v>310</v>
      </c>
      <c r="K118" s="242">
        <v>360</v>
      </c>
      <c r="L118" s="337">
        <v>410</v>
      </c>
      <c r="M118" s="337">
        <v>450</v>
      </c>
      <c r="N118" s="337">
        <v>320</v>
      </c>
      <c r="AA118" s="155"/>
      <c r="AB118" s="155"/>
      <c r="AC118" s="155"/>
      <c r="AD118" s="155"/>
      <c r="AE118" s="155"/>
      <c r="AF118" s="155"/>
      <c r="AG118" s="155"/>
      <c r="AH118" s="148"/>
      <c r="AI118" s="148"/>
    </row>
    <row r="119" spans="1:35" ht="15" customHeight="1">
      <c r="A119" s="110"/>
      <c r="B119" s="243">
        <v>2.6000000000000002E-2</v>
      </c>
      <c r="C119" s="243">
        <v>2.5000000000000001E-2</v>
      </c>
      <c r="D119" s="243">
        <v>2.7999999999999997E-2</v>
      </c>
      <c r="E119" s="243">
        <v>2.8999999999999998E-2</v>
      </c>
      <c r="F119" s="243">
        <v>2.6000000000000002E-2</v>
      </c>
      <c r="G119" s="243">
        <v>2.8999999999999998E-2</v>
      </c>
      <c r="H119" s="243">
        <v>2.7999999999999997E-2</v>
      </c>
      <c r="I119" s="243">
        <v>2.4E-2</v>
      </c>
      <c r="J119" s="243">
        <v>2.1000000000000001E-2</v>
      </c>
      <c r="K119" s="243">
        <v>2.2000000000000002E-2</v>
      </c>
      <c r="L119" s="338">
        <v>2.5000000000000001E-2</v>
      </c>
      <c r="M119" s="338">
        <v>2.6000000000000002E-2</v>
      </c>
      <c r="N119" s="338">
        <v>2.1000000000000001E-2</v>
      </c>
      <c r="AA119" s="156"/>
      <c r="AB119" s="156"/>
      <c r="AC119" s="156"/>
      <c r="AD119" s="156"/>
      <c r="AE119" s="156"/>
      <c r="AF119" s="156"/>
      <c r="AG119" s="156"/>
      <c r="AH119" s="148"/>
      <c r="AI119" s="148"/>
    </row>
    <row r="120" spans="1:35" ht="15" customHeight="1">
      <c r="A120" s="110" t="s">
        <v>347</v>
      </c>
      <c r="B120" s="242"/>
      <c r="C120" s="242"/>
      <c r="D120" s="242"/>
      <c r="E120" s="242"/>
      <c r="F120" s="242"/>
      <c r="G120" s="242"/>
      <c r="H120" s="242"/>
      <c r="I120" s="242"/>
      <c r="J120" s="242"/>
      <c r="K120" s="242"/>
      <c r="L120" s="337"/>
      <c r="M120" s="337"/>
      <c r="N120" s="337"/>
      <c r="AA120" s="155"/>
      <c r="AB120" s="155"/>
      <c r="AC120" s="155"/>
      <c r="AD120" s="155"/>
      <c r="AE120" s="155"/>
      <c r="AF120" s="155"/>
      <c r="AG120" s="155"/>
      <c r="AH120" s="149"/>
      <c r="AI120" s="149"/>
    </row>
    <row r="121" spans="1:35" ht="15" customHeight="1">
      <c r="A121" s="110"/>
      <c r="B121" s="242">
        <v>73160</v>
      </c>
      <c r="C121" s="242">
        <v>73310</v>
      </c>
      <c r="D121" s="242">
        <v>73310</v>
      </c>
      <c r="E121" s="242">
        <v>72380</v>
      </c>
      <c r="F121" s="242">
        <v>72250</v>
      </c>
      <c r="G121" s="242">
        <v>73260</v>
      </c>
      <c r="H121" s="242">
        <v>73780</v>
      </c>
      <c r="I121" s="242">
        <v>73690</v>
      </c>
      <c r="J121" s="242">
        <v>72740</v>
      </c>
      <c r="K121" s="242">
        <v>73130</v>
      </c>
      <c r="L121" s="337">
        <v>73800</v>
      </c>
      <c r="M121" s="337">
        <v>74000</v>
      </c>
      <c r="N121" s="337">
        <v>74700</v>
      </c>
      <c r="AA121" s="155"/>
      <c r="AB121" s="155"/>
      <c r="AC121" s="155"/>
      <c r="AD121" s="155"/>
      <c r="AE121" s="155"/>
      <c r="AF121" s="155"/>
      <c r="AG121" s="155"/>
      <c r="AH121" s="148"/>
      <c r="AI121" s="148"/>
    </row>
    <row r="122" spans="1:35" ht="15" customHeight="1">
      <c r="A122" s="110"/>
      <c r="B122" s="242">
        <v>71390</v>
      </c>
      <c r="C122" s="242">
        <v>71630</v>
      </c>
      <c r="D122" s="242">
        <v>71600</v>
      </c>
      <c r="E122" s="242">
        <v>70710</v>
      </c>
      <c r="F122" s="242">
        <v>70530</v>
      </c>
      <c r="G122" s="242">
        <v>71390</v>
      </c>
      <c r="H122" s="242">
        <v>71920</v>
      </c>
      <c r="I122" s="242">
        <v>72000</v>
      </c>
      <c r="J122" s="242">
        <v>71390</v>
      </c>
      <c r="K122" s="242">
        <v>71320</v>
      </c>
      <c r="L122" s="337">
        <v>71620</v>
      </c>
      <c r="M122" s="337">
        <v>71830</v>
      </c>
      <c r="N122" s="337">
        <v>73210</v>
      </c>
      <c r="AA122" s="155"/>
      <c r="AB122" s="155"/>
      <c r="AC122" s="155"/>
      <c r="AD122" s="155"/>
      <c r="AE122" s="155"/>
      <c r="AF122" s="155"/>
      <c r="AG122" s="155"/>
      <c r="AH122" s="148"/>
      <c r="AI122" s="148"/>
    </row>
    <row r="123" spans="1:35" ht="15" customHeight="1">
      <c r="A123" s="110"/>
      <c r="B123" s="242">
        <v>1770</v>
      </c>
      <c r="C123" s="242">
        <v>1680</v>
      </c>
      <c r="D123" s="242">
        <v>1710</v>
      </c>
      <c r="E123" s="242">
        <v>1670</v>
      </c>
      <c r="F123" s="242">
        <v>1720</v>
      </c>
      <c r="G123" s="242">
        <v>1870</v>
      </c>
      <c r="H123" s="242">
        <v>1860</v>
      </c>
      <c r="I123" s="242">
        <v>1690</v>
      </c>
      <c r="J123" s="242">
        <v>1350</v>
      </c>
      <c r="K123" s="242">
        <v>1810</v>
      </c>
      <c r="L123" s="337">
        <v>2180</v>
      </c>
      <c r="M123" s="337">
        <v>2170</v>
      </c>
      <c r="N123" s="337">
        <v>1490</v>
      </c>
      <c r="AA123" s="155"/>
      <c r="AB123" s="155"/>
      <c r="AC123" s="155"/>
      <c r="AD123" s="155"/>
      <c r="AE123" s="155"/>
      <c r="AF123" s="155"/>
      <c r="AG123" s="155"/>
      <c r="AH123" s="148"/>
      <c r="AI123" s="148"/>
    </row>
    <row r="124" spans="1:35" ht="15" customHeight="1">
      <c r="A124" s="110"/>
      <c r="B124" s="243">
        <v>2.4E-2</v>
      </c>
      <c r="C124" s="243">
        <v>2.3E-2</v>
      </c>
      <c r="D124" s="243">
        <v>2.3E-2</v>
      </c>
      <c r="E124" s="243">
        <v>2.3E-2</v>
      </c>
      <c r="F124" s="243">
        <v>2.4E-2</v>
      </c>
      <c r="G124" s="243">
        <v>2.6000000000000002E-2</v>
      </c>
      <c r="H124" s="243">
        <v>2.5000000000000001E-2</v>
      </c>
      <c r="I124" s="243">
        <v>2.3E-2</v>
      </c>
      <c r="J124" s="243">
        <v>1.9E-2</v>
      </c>
      <c r="K124" s="243">
        <v>2.5000000000000001E-2</v>
      </c>
      <c r="L124" s="338">
        <v>2.8999999999999998E-2</v>
      </c>
      <c r="M124" s="338">
        <v>2.8999999999999998E-2</v>
      </c>
      <c r="N124" s="338">
        <v>0.02</v>
      </c>
      <c r="AA124" s="156"/>
      <c r="AB124" s="156"/>
      <c r="AC124" s="156"/>
      <c r="AD124" s="156"/>
      <c r="AE124" s="156"/>
      <c r="AF124" s="156"/>
      <c r="AG124" s="156"/>
      <c r="AH124" s="148"/>
      <c r="AI124" s="148"/>
    </row>
    <row r="125" spans="1:35" ht="15" customHeight="1">
      <c r="A125" s="110" t="s">
        <v>356</v>
      </c>
      <c r="B125" s="242"/>
      <c r="C125" s="242"/>
      <c r="D125" s="242"/>
      <c r="E125" s="242"/>
      <c r="F125" s="242"/>
      <c r="G125" s="242"/>
      <c r="H125" s="242"/>
      <c r="I125" s="242"/>
      <c r="J125" s="242"/>
      <c r="K125" s="242"/>
      <c r="L125" s="337"/>
      <c r="M125" s="337"/>
      <c r="N125" s="337"/>
      <c r="AA125" s="155"/>
      <c r="AB125" s="155"/>
      <c r="AC125" s="155"/>
      <c r="AD125" s="155"/>
      <c r="AE125" s="155"/>
      <c r="AF125" s="155"/>
      <c r="AG125" s="155"/>
      <c r="AH125" s="149"/>
      <c r="AI125" s="149"/>
    </row>
    <row r="126" spans="1:35" ht="15" customHeight="1">
      <c r="A126" s="110"/>
      <c r="B126" s="242">
        <v>84690</v>
      </c>
      <c r="C126" s="242">
        <v>84930</v>
      </c>
      <c r="D126" s="242">
        <v>84980</v>
      </c>
      <c r="E126" s="242">
        <v>83920</v>
      </c>
      <c r="F126" s="242">
        <v>83710</v>
      </c>
      <c r="G126" s="242">
        <v>85000</v>
      </c>
      <c r="H126" s="242">
        <v>85530</v>
      </c>
      <c r="I126" s="242">
        <v>85440</v>
      </c>
      <c r="J126" s="242">
        <v>84320</v>
      </c>
      <c r="K126" s="242">
        <v>84870</v>
      </c>
      <c r="L126" s="337">
        <v>85550</v>
      </c>
      <c r="M126" s="337">
        <v>85680</v>
      </c>
      <c r="N126" s="337">
        <v>86530</v>
      </c>
      <c r="AA126" s="155"/>
      <c r="AB126" s="155"/>
      <c r="AC126" s="155"/>
      <c r="AD126" s="155"/>
      <c r="AE126" s="155"/>
      <c r="AF126" s="155"/>
      <c r="AG126" s="155"/>
      <c r="AH126" s="148"/>
      <c r="AI126" s="148"/>
    </row>
    <row r="127" spans="1:35" ht="15" customHeight="1">
      <c r="A127" s="110"/>
      <c r="B127" s="242">
        <v>82650</v>
      </c>
      <c r="C127" s="242">
        <v>82950</v>
      </c>
      <c r="D127" s="242">
        <v>82940</v>
      </c>
      <c r="E127" s="242">
        <v>81910</v>
      </c>
      <c r="F127" s="242">
        <v>81600</v>
      </c>
      <c r="G127" s="242">
        <v>82730</v>
      </c>
      <c r="H127" s="242">
        <v>83340</v>
      </c>
      <c r="I127" s="242">
        <v>83490</v>
      </c>
      <c r="J127" s="242">
        <v>82690</v>
      </c>
      <c r="K127" s="242">
        <v>82780</v>
      </c>
      <c r="L127" s="337">
        <v>83100</v>
      </c>
      <c r="M127" s="337">
        <v>83240</v>
      </c>
      <c r="N127" s="337">
        <v>84760</v>
      </c>
      <c r="AA127" s="155"/>
      <c r="AB127" s="155"/>
      <c r="AC127" s="155"/>
      <c r="AD127" s="155"/>
      <c r="AE127" s="155"/>
      <c r="AF127" s="155"/>
      <c r="AG127" s="155"/>
      <c r="AH127" s="148"/>
      <c r="AI127" s="148"/>
    </row>
    <row r="128" spans="1:35" ht="15" customHeight="1">
      <c r="A128" s="110"/>
      <c r="B128" s="242">
        <v>2040</v>
      </c>
      <c r="C128" s="242">
        <v>1980</v>
      </c>
      <c r="D128" s="242">
        <v>2040</v>
      </c>
      <c r="E128" s="242">
        <v>2010</v>
      </c>
      <c r="F128" s="242">
        <v>2110</v>
      </c>
      <c r="G128" s="242">
        <v>2270</v>
      </c>
      <c r="H128" s="242">
        <v>2190</v>
      </c>
      <c r="I128" s="242">
        <v>1950</v>
      </c>
      <c r="J128" s="242">
        <v>1630</v>
      </c>
      <c r="K128" s="242">
        <v>2090</v>
      </c>
      <c r="L128" s="337">
        <v>2450</v>
      </c>
      <c r="M128" s="337">
        <v>2440</v>
      </c>
      <c r="N128" s="337">
        <v>1770</v>
      </c>
      <c r="AA128" s="155"/>
      <c r="AB128" s="155"/>
      <c r="AC128" s="155"/>
      <c r="AD128" s="155"/>
      <c r="AE128" s="155"/>
      <c r="AF128" s="155"/>
      <c r="AG128" s="155"/>
      <c r="AH128" s="148"/>
      <c r="AI128" s="148"/>
    </row>
    <row r="129" spans="1:35" ht="15" customHeight="1">
      <c r="A129" s="110"/>
      <c r="B129" s="243">
        <v>2.4E-2</v>
      </c>
      <c r="C129" s="243">
        <v>2.3E-2</v>
      </c>
      <c r="D129" s="243">
        <v>2.4E-2</v>
      </c>
      <c r="E129" s="243">
        <v>2.4E-2</v>
      </c>
      <c r="F129" s="243">
        <v>2.5000000000000001E-2</v>
      </c>
      <c r="G129" s="243">
        <v>2.7000000000000003E-2</v>
      </c>
      <c r="H129" s="243">
        <v>2.6000000000000002E-2</v>
      </c>
      <c r="I129" s="243">
        <v>2.3E-2</v>
      </c>
      <c r="J129" s="243">
        <v>1.9E-2</v>
      </c>
      <c r="K129" s="243">
        <v>2.5000000000000001E-2</v>
      </c>
      <c r="L129" s="338">
        <v>2.8999999999999998E-2</v>
      </c>
      <c r="M129" s="338">
        <v>2.7999999999999997E-2</v>
      </c>
      <c r="N129" s="338">
        <v>0.02</v>
      </c>
      <c r="AA129" s="156"/>
      <c r="AB129" s="156"/>
      <c r="AC129" s="156"/>
      <c r="AD129" s="156"/>
      <c r="AE129" s="156"/>
      <c r="AF129" s="156"/>
      <c r="AG129" s="156"/>
      <c r="AH129" s="148"/>
      <c r="AI129" s="148"/>
    </row>
    <row r="130" spans="1:35" ht="15" customHeight="1">
      <c r="A130" s="110" t="s">
        <v>549</v>
      </c>
      <c r="B130" s="242"/>
      <c r="C130" s="242"/>
      <c r="D130" s="242"/>
      <c r="E130" s="242"/>
      <c r="F130" s="242"/>
      <c r="G130" s="242"/>
      <c r="H130" s="242"/>
      <c r="I130" s="242"/>
      <c r="J130" s="242"/>
      <c r="K130" s="242"/>
      <c r="L130" s="337"/>
      <c r="M130" s="337"/>
      <c r="N130" s="337"/>
      <c r="AA130" s="156"/>
      <c r="AB130" s="156"/>
      <c r="AC130" s="156"/>
      <c r="AD130" s="156"/>
      <c r="AE130" s="156"/>
      <c r="AF130" s="156"/>
      <c r="AG130" s="156"/>
      <c r="AH130" s="148"/>
      <c r="AI130" s="148"/>
    </row>
    <row r="131" spans="1:35" ht="15" customHeight="1">
      <c r="A131" s="110"/>
      <c r="B131" s="242">
        <v>13660</v>
      </c>
      <c r="C131" s="242">
        <v>13630</v>
      </c>
      <c r="D131" s="242">
        <v>13680</v>
      </c>
      <c r="E131" s="242">
        <v>13610</v>
      </c>
      <c r="F131" s="242">
        <v>13660</v>
      </c>
      <c r="G131" s="242">
        <v>13460</v>
      </c>
      <c r="H131" s="242">
        <v>13810</v>
      </c>
      <c r="I131" s="242">
        <v>13760</v>
      </c>
      <c r="J131" s="242">
        <v>13780</v>
      </c>
      <c r="K131" s="242">
        <v>13980</v>
      </c>
      <c r="L131" s="337">
        <v>13840</v>
      </c>
      <c r="M131" s="337">
        <v>14070</v>
      </c>
      <c r="N131" s="337">
        <v>13870</v>
      </c>
      <c r="AA131" s="156"/>
      <c r="AB131" s="156"/>
      <c r="AC131" s="156"/>
      <c r="AD131" s="156"/>
      <c r="AE131" s="156"/>
      <c r="AF131" s="156"/>
      <c r="AG131" s="156"/>
      <c r="AH131" s="148"/>
      <c r="AI131" s="148"/>
    </row>
    <row r="132" spans="1:35" ht="15" customHeight="1">
      <c r="A132" s="110"/>
      <c r="B132" s="242">
        <v>13360</v>
      </c>
      <c r="C132" s="242">
        <v>13340</v>
      </c>
      <c r="D132" s="242">
        <v>13370</v>
      </c>
      <c r="E132" s="242">
        <v>13290</v>
      </c>
      <c r="F132" s="242">
        <v>13370</v>
      </c>
      <c r="G132" s="242">
        <v>13130</v>
      </c>
      <c r="H132" s="242">
        <v>13490</v>
      </c>
      <c r="I132" s="242">
        <v>13490</v>
      </c>
      <c r="J132" s="242">
        <v>13550</v>
      </c>
      <c r="K132" s="242">
        <v>13680</v>
      </c>
      <c r="L132" s="337">
        <v>13480</v>
      </c>
      <c r="M132" s="337">
        <v>13680</v>
      </c>
      <c r="N132" s="337">
        <v>13610</v>
      </c>
      <c r="AA132" s="156"/>
      <c r="AB132" s="156"/>
      <c r="AC132" s="156"/>
      <c r="AD132" s="156"/>
      <c r="AE132" s="156"/>
      <c r="AF132" s="156"/>
      <c r="AG132" s="156"/>
      <c r="AH132" s="148"/>
      <c r="AI132" s="148"/>
    </row>
    <row r="133" spans="1:35" ht="15" customHeight="1">
      <c r="A133" s="110"/>
      <c r="B133" s="242">
        <v>300</v>
      </c>
      <c r="C133" s="242">
        <v>290</v>
      </c>
      <c r="D133" s="242">
        <v>310</v>
      </c>
      <c r="E133" s="242">
        <v>320</v>
      </c>
      <c r="F133" s="242">
        <v>290</v>
      </c>
      <c r="G133" s="242">
        <v>330</v>
      </c>
      <c r="H133" s="242">
        <v>320</v>
      </c>
      <c r="I133" s="242">
        <v>270</v>
      </c>
      <c r="J133" s="242">
        <v>230</v>
      </c>
      <c r="K133" s="242">
        <v>300</v>
      </c>
      <c r="L133" s="337">
        <v>360</v>
      </c>
      <c r="M133" s="337">
        <v>390</v>
      </c>
      <c r="N133" s="337">
        <v>260</v>
      </c>
      <c r="AA133" s="156"/>
      <c r="AB133" s="156"/>
      <c r="AC133" s="156"/>
      <c r="AD133" s="156"/>
      <c r="AE133" s="156"/>
      <c r="AF133" s="156"/>
      <c r="AG133" s="156"/>
      <c r="AH133" s="148"/>
      <c r="AI133" s="148"/>
    </row>
    <row r="134" spans="1:35" ht="15" customHeight="1">
      <c r="A134" s="110"/>
      <c r="B134" s="243">
        <v>2.2000000000000002E-2</v>
      </c>
      <c r="C134" s="243">
        <v>2.1000000000000001E-2</v>
      </c>
      <c r="D134" s="243">
        <v>2.3E-2</v>
      </c>
      <c r="E134" s="243">
        <v>2.3E-2</v>
      </c>
      <c r="F134" s="243">
        <v>2.2000000000000002E-2</v>
      </c>
      <c r="G134" s="243">
        <v>2.5000000000000001E-2</v>
      </c>
      <c r="H134" s="243">
        <v>2.3E-2</v>
      </c>
      <c r="I134" s="243">
        <v>0.02</v>
      </c>
      <c r="J134" s="243">
        <v>1.7000000000000001E-2</v>
      </c>
      <c r="K134" s="243">
        <v>2.2000000000000002E-2</v>
      </c>
      <c r="L134" s="338">
        <v>2.6000000000000002E-2</v>
      </c>
      <c r="M134" s="338">
        <v>2.7999999999999997E-2</v>
      </c>
      <c r="N134" s="338">
        <v>1.9E-2</v>
      </c>
      <c r="AA134" s="156"/>
      <c r="AB134" s="156"/>
      <c r="AC134" s="156"/>
      <c r="AD134" s="156"/>
      <c r="AE134" s="156"/>
      <c r="AF134" s="156"/>
      <c r="AG134" s="156"/>
      <c r="AH134" s="148"/>
      <c r="AI134" s="148"/>
    </row>
    <row r="135" spans="1:35" ht="15" customHeight="1">
      <c r="A135" s="110" t="s">
        <v>348</v>
      </c>
      <c r="B135" s="242"/>
      <c r="C135" s="242"/>
      <c r="D135" s="242"/>
      <c r="E135" s="242"/>
      <c r="F135" s="242"/>
      <c r="G135" s="242"/>
      <c r="H135" s="242"/>
      <c r="I135" s="242"/>
      <c r="J135" s="242"/>
      <c r="K135" s="242"/>
      <c r="L135" s="338"/>
      <c r="M135" s="338"/>
      <c r="N135" s="338"/>
      <c r="AA135" s="155"/>
      <c r="AB135" s="155"/>
      <c r="AC135" s="155"/>
      <c r="AD135" s="155"/>
      <c r="AE135" s="155"/>
      <c r="AF135" s="155"/>
      <c r="AG135" s="155"/>
      <c r="AH135" s="149"/>
      <c r="AI135" s="149"/>
    </row>
    <row r="136" spans="1:35" ht="15" customHeight="1">
      <c r="A136" s="110"/>
      <c r="B136" s="242">
        <v>10600</v>
      </c>
      <c r="C136" s="242">
        <v>10590</v>
      </c>
      <c r="D136" s="242">
        <v>10660</v>
      </c>
      <c r="E136" s="242">
        <v>10570</v>
      </c>
      <c r="F136" s="242">
        <v>10640</v>
      </c>
      <c r="G136" s="242">
        <v>10520</v>
      </c>
      <c r="H136" s="242">
        <v>10620</v>
      </c>
      <c r="I136" s="242">
        <v>10610</v>
      </c>
      <c r="J136" s="242">
        <v>10650</v>
      </c>
      <c r="K136" s="242">
        <v>10740</v>
      </c>
      <c r="L136" s="337">
        <v>10830</v>
      </c>
      <c r="M136" s="337">
        <v>10860</v>
      </c>
      <c r="N136" s="337">
        <v>10730</v>
      </c>
      <c r="AA136" s="155"/>
      <c r="AB136" s="155"/>
      <c r="AC136" s="155"/>
      <c r="AD136" s="155"/>
      <c r="AE136" s="155"/>
      <c r="AF136" s="155"/>
      <c r="AG136" s="155"/>
      <c r="AH136" s="148"/>
      <c r="AI136" s="148"/>
    </row>
    <row r="137" spans="1:35" ht="15" customHeight="1">
      <c r="A137" s="110"/>
      <c r="B137" s="242">
        <v>10360</v>
      </c>
      <c r="C137" s="242">
        <v>10360</v>
      </c>
      <c r="D137" s="242">
        <v>10400</v>
      </c>
      <c r="E137" s="242">
        <v>10300</v>
      </c>
      <c r="F137" s="242">
        <v>10380</v>
      </c>
      <c r="G137" s="242">
        <v>10230</v>
      </c>
      <c r="H137" s="242">
        <v>10340</v>
      </c>
      <c r="I137" s="242">
        <v>10390</v>
      </c>
      <c r="J137" s="242">
        <v>10470</v>
      </c>
      <c r="K137" s="242">
        <v>10500</v>
      </c>
      <c r="L137" s="337">
        <v>10550</v>
      </c>
      <c r="M137" s="337">
        <v>10550</v>
      </c>
      <c r="N137" s="337">
        <v>10530</v>
      </c>
      <c r="AA137" s="155"/>
      <c r="AB137" s="155"/>
      <c r="AC137" s="155"/>
      <c r="AD137" s="155"/>
      <c r="AE137" s="155"/>
      <c r="AF137" s="155"/>
      <c r="AG137" s="155"/>
      <c r="AH137" s="148"/>
      <c r="AI137" s="148"/>
    </row>
    <row r="138" spans="1:35" ht="15" customHeight="1">
      <c r="A138" s="110"/>
      <c r="B138" s="242">
        <v>240</v>
      </c>
      <c r="C138" s="242">
        <v>230</v>
      </c>
      <c r="D138" s="242">
        <v>260</v>
      </c>
      <c r="E138" s="242">
        <v>270</v>
      </c>
      <c r="F138" s="242">
        <v>260</v>
      </c>
      <c r="G138" s="242">
        <v>290</v>
      </c>
      <c r="H138" s="242">
        <v>280</v>
      </c>
      <c r="I138" s="242">
        <v>220</v>
      </c>
      <c r="J138" s="242">
        <v>180</v>
      </c>
      <c r="K138" s="242">
        <v>240</v>
      </c>
      <c r="L138" s="337">
        <v>280</v>
      </c>
      <c r="M138" s="337">
        <v>310</v>
      </c>
      <c r="N138" s="337">
        <v>200</v>
      </c>
      <c r="AA138" s="155"/>
      <c r="AB138" s="155"/>
      <c r="AC138" s="155"/>
      <c r="AD138" s="155"/>
      <c r="AE138" s="155"/>
      <c r="AF138" s="155"/>
      <c r="AG138" s="155"/>
      <c r="AH138" s="148"/>
      <c r="AI138" s="148"/>
    </row>
    <row r="139" spans="1:35" ht="15" customHeight="1">
      <c r="A139" s="110"/>
      <c r="B139" s="243">
        <v>2.3E-2</v>
      </c>
      <c r="C139" s="243">
        <v>2.2000000000000002E-2</v>
      </c>
      <c r="D139" s="243">
        <v>2.4E-2</v>
      </c>
      <c r="E139" s="243">
        <v>2.5000000000000001E-2</v>
      </c>
      <c r="F139" s="243">
        <v>2.4E-2</v>
      </c>
      <c r="G139" s="243">
        <v>2.7000000000000003E-2</v>
      </c>
      <c r="H139" s="243">
        <v>2.6000000000000002E-2</v>
      </c>
      <c r="I139" s="243">
        <v>2.1000000000000001E-2</v>
      </c>
      <c r="J139" s="243">
        <v>1.6E-2</v>
      </c>
      <c r="K139" s="243">
        <v>2.2000000000000002E-2</v>
      </c>
      <c r="L139" s="338">
        <v>2.6000000000000002E-2</v>
      </c>
      <c r="M139" s="338">
        <v>2.7999999999999997E-2</v>
      </c>
      <c r="N139" s="338">
        <v>1.8000000000000002E-2</v>
      </c>
      <c r="AA139" s="156"/>
      <c r="AB139" s="156"/>
      <c r="AC139" s="156"/>
      <c r="AD139" s="156"/>
      <c r="AE139" s="156"/>
      <c r="AF139" s="156"/>
      <c r="AG139" s="156"/>
      <c r="AH139" s="148"/>
      <c r="AI139" s="148"/>
    </row>
    <row r="140" spans="1:35" ht="15" customHeight="1">
      <c r="A140" s="110" t="s">
        <v>105</v>
      </c>
      <c r="B140" s="242"/>
      <c r="C140" s="242"/>
      <c r="D140" s="242"/>
      <c r="E140" s="242"/>
      <c r="F140" s="242"/>
      <c r="G140" s="242"/>
      <c r="H140" s="242"/>
      <c r="I140" s="242"/>
      <c r="J140" s="242"/>
      <c r="K140" s="242"/>
      <c r="L140" s="337"/>
      <c r="M140" s="337"/>
      <c r="N140" s="337"/>
      <c r="AA140" s="155"/>
      <c r="AB140" s="155"/>
      <c r="AC140" s="155"/>
      <c r="AD140" s="155"/>
      <c r="AE140" s="155"/>
      <c r="AF140" s="155"/>
      <c r="AG140" s="155"/>
      <c r="AH140" s="149"/>
      <c r="AI140" s="149"/>
    </row>
    <row r="141" spans="1:35" ht="15" customHeight="1">
      <c r="A141" s="110"/>
      <c r="B141" s="242">
        <v>3300</v>
      </c>
      <c r="C141" s="242">
        <v>3320</v>
      </c>
      <c r="D141" s="242">
        <v>3300</v>
      </c>
      <c r="E141" s="242">
        <v>3340</v>
      </c>
      <c r="F141" s="242">
        <v>3340</v>
      </c>
      <c r="G141" s="242">
        <v>3220</v>
      </c>
      <c r="H141" s="242">
        <v>3300</v>
      </c>
      <c r="I141" s="242">
        <v>3280</v>
      </c>
      <c r="J141" s="242">
        <v>3300</v>
      </c>
      <c r="K141" s="242">
        <v>3320</v>
      </c>
      <c r="L141" s="337">
        <v>3340</v>
      </c>
      <c r="M141" s="337">
        <v>3390</v>
      </c>
      <c r="N141" s="337">
        <v>3410</v>
      </c>
      <c r="AA141" s="155"/>
      <c r="AB141" s="155"/>
      <c r="AC141" s="155"/>
      <c r="AD141" s="155"/>
      <c r="AE141" s="155"/>
      <c r="AF141" s="155"/>
      <c r="AG141" s="155"/>
      <c r="AH141" s="148"/>
      <c r="AI141" s="148"/>
    </row>
    <row r="142" spans="1:35" ht="15" customHeight="1">
      <c r="A142" s="110"/>
      <c r="B142" s="242">
        <v>3230</v>
      </c>
      <c r="C142" s="242">
        <v>3250</v>
      </c>
      <c r="D142" s="242">
        <v>3230</v>
      </c>
      <c r="E142" s="242">
        <v>3250</v>
      </c>
      <c r="F142" s="242">
        <v>3240</v>
      </c>
      <c r="G142" s="242">
        <v>3110</v>
      </c>
      <c r="H142" s="242">
        <v>3200</v>
      </c>
      <c r="I142" s="242">
        <v>3200</v>
      </c>
      <c r="J142" s="242">
        <v>3240</v>
      </c>
      <c r="K142" s="242">
        <v>3240</v>
      </c>
      <c r="L142" s="337">
        <v>3240</v>
      </c>
      <c r="M142" s="337">
        <v>3290</v>
      </c>
      <c r="N142" s="337">
        <v>3340</v>
      </c>
      <c r="AA142" s="155"/>
      <c r="AB142" s="155"/>
      <c r="AC142" s="155"/>
      <c r="AD142" s="155"/>
      <c r="AE142" s="155"/>
      <c r="AF142" s="155"/>
      <c r="AG142" s="155"/>
      <c r="AH142" s="148"/>
      <c r="AI142" s="148"/>
    </row>
    <row r="143" spans="1:35" ht="15" customHeight="1">
      <c r="A143" s="110"/>
      <c r="B143" s="242">
        <v>70</v>
      </c>
      <c r="C143" s="242">
        <v>70</v>
      </c>
      <c r="D143" s="242">
        <v>70</v>
      </c>
      <c r="E143" s="242">
        <v>90</v>
      </c>
      <c r="F143" s="242">
        <v>100</v>
      </c>
      <c r="G143" s="242">
        <v>110</v>
      </c>
      <c r="H143" s="242">
        <v>100</v>
      </c>
      <c r="I143" s="242">
        <v>80</v>
      </c>
      <c r="J143" s="242">
        <v>60</v>
      </c>
      <c r="K143" s="242">
        <v>80</v>
      </c>
      <c r="L143" s="337">
        <v>100</v>
      </c>
      <c r="M143" s="337">
        <v>100</v>
      </c>
      <c r="N143" s="337">
        <v>70</v>
      </c>
      <c r="AA143" s="155"/>
      <c r="AB143" s="155"/>
      <c r="AC143" s="155"/>
      <c r="AD143" s="155"/>
      <c r="AE143" s="155"/>
      <c r="AF143" s="155"/>
      <c r="AG143" s="155"/>
      <c r="AH143" s="148"/>
      <c r="AI143" s="148"/>
    </row>
    <row r="144" spans="1:35" ht="15" customHeight="1">
      <c r="A144" s="110"/>
      <c r="B144" s="243">
        <v>2.2000000000000002E-2</v>
      </c>
      <c r="C144" s="243">
        <v>0.02</v>
      </c>
      <c r="D144" s="243">
        <v>2.2000000000000002E-2</v>
      </c>
      <c r="E144" s="243">
        <v>2.6000000000000002E-2</v>
      </c>
      <c r="F144" s="243">
        <v>3.1E-2</v>
      </c>
      <c r="G144" s="243">
        <v>3.4000000000000002E-2</v>
      </c>
      <c r="H144" s="243">
        <v>3.1E-2</v>
      </c>
      <c r="I144" s="243">
        <v>2.4E-2</v>
      </c>
      <c r="J144" s="243">
        <v>1.7000000000000001E-2</v>
      </c>
      <c r="K144" s="243">
        <v>2.3E-2</v>
      </c>
      <c r="L144" s="338">
        <v>0.03</v>
      </c>
      <c r="M144" s="338">
        <v>0.03</v>
      </c>
      <c r="N144" s="338">
        <v>1.9E-2</v>
      </c>
      <c r="AA144" s="156"/>
      <c r="AB144" s="156"/>
      <c r="AC144" s="156"/>
      <c r="AD144" s="156"/>
      <c r="AE144" s="156"/>
      <c r="AF144" s="156"/>
      <c r="AG144" s="156"/>
      <c r="AH144" s="148"/>
      <c r="AI144" s="148"/>
    </row>
    <row r="145" spans="1:35" ht="15" customHeight="1">
      <c r="A145" s="110" t="s">
        <v>106</v>
      </c>
      <c r="B145" s="242"/>
      <c r="C145" s="242"/>
      <c r="D145" s="242"/>
      <c r="E145" s="242"/>
      <c r="F145" s="242"/>
      <c r="G145" s="242"/>
      <c r="H145" s="242"/>
      <c r="I145" s="242"/>
      <c r="J145" s="242"/>
      <c r="K145" s="242"/>
      <c r="L145" s="337"/>
      <c r="M145" s="337"/>
      <c r="N145" s="337"/>
      <c r="AA145" s="155"/>
      <c r="AB145" s="155"/>
      <c r="AC145" s="155"/>
      <c r="AD145" s="155"/>
      <c r="AE145" s="155"/>
      <c r="AF145" s="155"/>
      <c r="AG145" s="155"/>
      <c r="AH145" s="149"/>
      <c r="AI145" s="149"/>
    </row>
    <row r="146" spans="1:35" ht="15" customHeight="1">
      <c r="A146" s="110"/>
      <c r="B146" s="242">
        <v>8180</v>
      </c>
      <c r="C146" s="242">
        <v>8190</v>
      </c>
      <c r="D146" s="242">
        <v>8260</v>
      </c>
      <c r="E146" s="242">
        <v>8420</v>
      </c>
      <c r="F146" s="242">
        <v>8420</v>
      </c>
      <c r="G146" s="242">
        <v>8350</v>
      </c>
      <c r="H146" s="242">
        <v>8700</v>
      </c>
      <c r="I146" s="242">
        <v>8420</v>
      </c>
      <c r="J146" s="242">
        <v>8340</v>
      </c>
      <c r="K146" s="242">
        <v>8340</v>
      </c>
      <c r="L146" s="337">
        <v>8270</v>
      </c>
      <c r="M146" s="337">
        <v>8310</v>
      </c>
      <c r="N146" s="337">
        <v>8170</v>
      </c>
      <c r="AA146" s="155"/>
      <c r="AB146" s="155"/>
      <c r="AC146" s="155"/>
      <c r="AD146" s="155"/>
      <c r="AE146" s="155"/>
      <c r="AF146" s="155"/>
      <c r="AG146" s="155"/>
      <c r="AH146" s="148"/>
      <c r="AI146" s="148"/>
    </row>
    <row r="147" spans="1:35" ht="15" customHeight="1">
      <c r="A147" s="110"/>
      <c r="B147" s="242">
        <v>7990</v>
      </c>
      <c r="C147" s="242">
        <v>8020</v>
      </c>
      <c r="D147" s="242">
        <v>8090</v>
      </c>
      <c r="E147" s="242">
        <v>8240</v>
      </c>
      <c r="F147" s="242">
        <v>8240</v>
      </c>
      <c r="G147" s="242">
        <v>8160</v>
      </c>
      <c r="H147" s="242">
        <v>8510</v>
      </c>
      <c r="I147" s="242">
        <v>8250</v>
      </c>
      <c r="J147" s="242">
        <v>8200</v>
      </c>
      <c r="K147" s="242">
        <v>8160</v>
      </c>
      <c r="L147" s="337">
        <v>8020</v>
      </c>
      <c r="M147" s="337">
        <v>8060</v>
      </c>
      <c r="N147" s="337">
        <v>8010</v>
      </c>
      <c r="AA147" s="155"/>
      <c r="AB147" s="155"/>
      <c r="AC147" s="155"/>
      <c r="AD147" s="155"/>
      <c r="AE147" s="155"/>
      <c r="AF147" s="155"/>
      <c r="AG147" s="155"/>
      <c r="AH147" s="148"/>
      <c r="AI147" s="148"/>
    </row>
    <row r="148" spans="1:35" ht="15" customHeight="1">
      <c r="A148" s="110"/>
      <c r="B148" s="242">
        <v>190</v>
      </c>
      <c r="C148" s="242">
        <v>170</v>
      </c>
      <c r="D148" s="242">
        <v>170</v>
      </c>
      <c r="E148" s="242">
        <v>180</v>
      </c>
      <c r="F148" s="242">
        <v>180</v>
      </c>
      <c r="G148" s="242">
        <v>190</v>
      </c>
      <c r="H148" s="242">
        <v>190</v>
      </c>
      <c r="I148" s="242">
        <v>170</v>
      </c>
      <c r="J148" s="242">
        <v>140</v>
      </c>
      <c r="K148" s="242">
        <v>180</v>
      </c>
      <c r="L148" s="337">
        <v>250</v>
      </c>
      <c r="M148" s="337">
        <v>250</v>
      </c>
      <c r="N148" s="337">
        <v>160</v>
      </c>
      <c r="AA148" s="155"/>
      <c r="AB148" s="155"/>
      <c r="AC148" s="155"/>
      <c r="AD148" s="155"/>
      <c r="AE148" s="155"/>
      <c r="AF148" s="155"/>
      <c r="AG148" s="155"/>
      <c r="AH148" s="148"/>
      <c r="AI148" s="148"/>
    </row>
    <row r="149" spans="1:35" ht="15" customHeight="1">
      <c r="A149" s="110"/>
      <c r="B149" s="243">
        <v>2.3E-2</v>
      </c>
      <c r="C149" s="243">
        <v>2.1000000000000001E-2</v>
      </c>
      <c r="D149" s="243">
        <v>2.1000000000000001E-2</v>
      </c>
      <c r="E149" s="243">
        <v>2.2000000000000002E-2</v>
      </c>
      <c r="F149" s="243">
        <v>2.2000000000000002E-2</v>
      </c>
      <c r="G149" s="243">
        <v>2.3E-2</v>
      </c>
      <c r="H149" s="243">
        <v>2.2000000000000002E-2</v>
      </c>
      <c r="I149" s="243">
        <v>0.02</v>
      </c>
      <c r="J149" s="243">
        <v>1.7000000000000001E-2</v>
      </c>
      <c r="K149" s="243">
        <v>2.2000000000000002E-2</v>
      </c>
      <c r="L149" s="338">
        <v>0.03</v>
      </c>
      <c r="M149" s="338">
        <v>0.03</v>
      </c>
      <c r="N149" s="338">
        <v>0.02</v>
      </c>
      <c r="AA149" s="156"/>
      <c r="AB149" s="156"/>
      <c r="AC149" s="156"/>
      <c r="AD149" s="156"/>
      <c r="AE149" s="156"/>
      <c r="AF149" s="156"/>
      <c r="AG149" s="156"/>
      <c r="AH149" s="148"/>
      <c r="AI149" s="148"/>
    </row>
    <row r="150" spans="1:35" ht="15" customHeight="1">
      <c r="A150" s="171" t="s">
        <v>396</v>
      </c>
      <c r="B150" s="242"/>
      <c r="C150" s="242"/>
      <c r="D150" s="242"/>
      <c r="E150" s="242"/>
      <c r="F150" s="242"/>
      <c r="G150" s="242"/>
      <c r="H150" s="242"/>
      <c r="I150" s="242"/>
      <c r="J150" s="242"/>
      <c r="K150" s="242"/>
      <c r="L150" s="337"/>
      <c r="M150" s="337"/>
      <c r="N150" s="337"/>
      <c r="AA150" s="155"/>
      <c r="AB150" s="155"/>
      <c r="AC150" s="155"/>
      <c r="AD150" s="155"/>
      <c r="AE150" s="155"/>
      <c r="AF150" s="155"/>
      <c r="AG150" s="155"/>
      <c r="AH150" s="149"/>
      <c r="AI150" s="149"/>
    </row>
    <row r="151" spans="1:35" ht="15" customHeight="1">
      <c r="A151" s="110"/>
      <c r="B151" s="242">
        <v>1940</v>
      </c>
      <c r="C151" s="242">
        <v>1960</v>
      </c>
      <c r="D151" s="242">
        <v>1960</v>
      </c>
      <c r="E151" s="242">
        <v>1950</v>
      </c>
      <c r="F151" s="242">
        <v>2010</v>
      </c>
      <c r="G151" s="242">
        <v>2010</v>
      </c>
      <c r="H151" s="242">
        <v>2010</v>
      </c>
      <c r="I151" s="242">
        <v>1970</v>
      </c>
      <c r="J151" s="242">
        <v>1950</v>
      </c>
      <c r="K151" s="242">
        <v>1950</v>
      </c>
      <c r="L151" s="337">
        <v>1940</v>
      </c>
      <c r="M151" s="337">
        <v>1940</v>
      </c>
      <c r="N151" s="337">
        <v>1940</v>
      </c>
      <c r="AA151" s="155"/>
      <c r="AB151" s="155"/>
      <c r="AC151" s="155"/>
      <c r="AD151" s="155"/>
      <c r="AE151" s="155"/>
      <c r="AF151" s="155"/>
      <c r="AG151" s="155"/>
      <c r="AH151" s="148"/>
      <c r="AI151" s="148"/>
    </row>
    <row r="152" spans="1:35" ht="15" customHeight="1">
      <c r="A152" s="110"/>
      <c r="B152" s="242">
        <v>1890</v>
      </c>
      <c r="C152" s="242">
        <v>1900</v>
      </c>
      <c r="D152" s="242">
        <v>1900</v>
      </c>
      <c r="E152" s="242">
        <v>1890</v>
      </c>
      <c r="F152" s="242">
        <v>1940</v>
      </c>
      <c r="G152" s="242">
        <v>1920</v>
      </c>
      <c r="H152" s="242">
        <v>1930</v>
      </c>
      <c r="I152" s="242">
        <v>1910</v>
      </c>
      <c r="J152" s="242">
        <v>1900</v>
      </c>
      <c r="K152" s="242">
        <v>1890</v>
      </c>
      <c r="L152" s="337">
        <v>1870</v>
      </c>
      <c r="M152" s="337">
        <v>1870</v>
      </c>
      <c r="N152" s="337">
        <v>1890</v>
      </c>
      <c r="AA152" s="155"/>
      <c r="AB152" s="155"/>
      <c r="AC152" s="155"/>
      <c r="AD152" s="155"/>
      <c r="AE152" s="155"/>
      <c r="AF152" s="155"/>
      <c r="AG152" s="155"/>
      <c r="AH152" s="148"/>
      <c r="AI152" s="148"/>
    </row>
    <row r="153" spans="1:35" ht="15" customHeight="1">
      <c r="A153" s="110"/>
      <c r="B153" s="242">
        <v>50</v>
      </c>
      <c r="C153" s="242">
        <v>60</v>
      </c>
      <c r="D153" s="242">
        <v>60</v>
      </c>
      <c r="E153" s="242">
        <v>60</v>
      </c>
      <c r="F153" s="242">
        <v>70</v>
      </c>
      <c r="G153" s="242">
        <v>90</v>
      </c>
      <c r="H153" s="242">
        <v>80</v>
      </c>
      <c r="I153" s="242">
        <v>60</v>
      </c>
      <c r="J153" s="242">
        <v>50</v>
      </c>
      <c r="K153" s="242">
        <v>60</v>
      </c>
      <c r="L153" s="337">
        <v>70</v>
      </c>
      <c r="M153" s="337">
        <v>70</v>
      </c>
      <c r="N153" s="337">
        <v>50</v>
      </c>
      <c r="AA153" s="155"/>
      <c r="AB153" s="155"/>
      <c r="AC153" s="155"/>
      <c r="AD153" s="155"/>
      <c r="AE153" s="155"/>
      <c r="AF153" s="155"/>
      <c r="AG153" s="155"/>
      <c r="AH153" s="148"/>
      <c r="AI153" s="148"/>
    </row>
    <row r="154" spans="1:35" ht="15" customHeight="1">
      <c r="A154" s="110"/>
      <c r="B154" s="243">
        <v>2.7000000000000003E-2</v>
      </c>
      <c r="C154" s="243">
        <v>2.8999999999999998E-2</v>
      </c>
      <c r="D154" s="243">
        <v>3.1E-2</v>
      </c>
      <c r="E154" s="243">
        <v>0.03</v>
      </c>
      <c r="F154" s="243">
        <v>3.5000000000000003E-2</v>
      </c>
      <c r="G154" s="243">
        <v>4.4999999999999998E-2</v>
      </c>
      <c r="H154" s="243">
        <v>3.7000000000000005E-2</v>
      </c>
      <c r="I154" s="243">
        <v>3.2000000000000001E-2</v>
      </c>
      <c r="J154" s="243">
        <v>2.4E-2</v>
      </c>
      <c r="K154" s="243">
        <v>2.7999999999999997E-2</v>
      </c>
      <c r="L154" s="338">
        <v>3.4000000000000002E-2</v>
      </c>
      <c r="M154" s="338">
        <v>3.6000000000000004E-2</v>
      </c>
      <c r="N154" s="338">
        <v>2.6000000000000002E-2</v>
      </c>
      <c r="AA154" s="156"/>
      <c r="AB154" s="156"/>
      <c r="AC154" s="156"/>
      <c r="AD154" s="156"/>
      <c r="AE154" s="156"/>
      <c r="AF154" s="156"/>
      <c r="AG154" s="156"/>
      <c r="AH154" s="148"/>
      <c r="AI154" s="148"/>
    </row>
    <row r="155" spans="1:35" ht="15" customHeight="1">
      <c r="A155" s="110" t="s">
        <v>107</v>
      </c>
      <c r="B155" s="242"/>
      <c r="C155" s="242"/>
      <c r="D155" s="242"/>
      <c r="E155" s="242"/>
      <c r="F155" s="242"/>
      <c r="G155" s="242"/>
      <c r="H155" s="242"/>
      <c r="I155" s="242"/>
      <c r="J155" s="242"/>
      <c r="K155" s="242"/>
      <c r="L155" s="337"/>
      <c r="M155" s="337"/>
      <c r="N155" s="337"/>
      <c r="AA155" s="155"/>
      <c r="AB155" s="155"/>
      <c r="AC155" s="155"/>
      <c r="AD155" s="155"/>
      <c r="AE155" s="155"/>
      <c r="AF155" s="155"/>
      <c r="AG155" s="155"/>
      <c r="AH155" s="149"/>
      <c r="AI155" s="149"/>
    </row>
    <row r="156" spans="1:35" ht="15" customHeight="1">
      <c r="A156" s="110"/>
      <c r="B156" s="242">
        <v>24610</v>
      </c>
      <c r="C156" s="242">
        <v>24600</v>
      </c>
      <c r="D156" s="242">
        <v>24860</v>
      </c>
      <c r="E156" s="242">
        <v>24720</v>
      </c>
      <c r="F156" s="242">
        <v>24750</v>
      </c>
      <c r="G156" s="242">
        <v>24450</v>
      </c>
      <c r="H156" s="242">
        <v>25000</v>
      </c>
      <c r="I156" s="242">
        <v>25060</v>
      </c>
      <c r="J156" s="242">
        <v>24770</v>
      </c>
      <c r="K156" s="242">
        <v>24750</v>
      </c>
      <c r="L156" s="337">
        <v>24410</v>
      </c>
      <c r="M156" s="337">
        <v>24330</v>
      </c>
      <c r="N156" s="337">
        <v>24210</v>
      </c>
      <c r="AA156" s="155"/>
      <c r="AB156" s="155"/>
      <c r="AC156" s="155"/>
      <c r="AD156" s="155"/>
      <c r="AE156" s="155"/>
      <c r="AF156" s="155"/>
      <c r="AG156" s="155"/>
      <c r="AH156" s="148"/>
      <c r="AI156" s="148"/>
    </row>
    <row r="157" spans="1:35" ht="15" customHeight="1">
      <c r="A157" s="110"/>
      <c r="B157" s="242">
        <v>23970</v>
      </c>
      <c r="C157" s="242">
        <v>24000</v>
      </c>
      <c r="D157" s="242">
        <v>24250</v>
      </c>
      <c r="E157" s="242">
        <v>24080</v>
      </c>
      <c r="F157" s="242">
        <v>24120</v>
      </c>
      <c r="G157" s="242">
        <v>23760</v>
      </c>
      <c r="H157" s="242">
        <v>24340</v>
      </c>
      <c r="I157" s="242">
        <v>24460</v>
      </c>
      <c r="J157" s="242">
        <v>24300</v>
      </c>
      <c r="K157" s="242">
        <v>24120</v>
      </c>
      <c r="L157" s="337">
        <v>23610</v>
      </c>
      <c r="M157" s="337">
        <v>23540</v>
      </c>
      <c r="N157" s="337">
        <v>23680</v>
      </c>
      <c r="AA157" s="155"/>
      <c r="AB157" s="155"/>
      <c r="AC157" s="155"/>
      <c r="AD157" s="155"/>
      <c r="AE157" s="155"/>
      <c r="AF157" s="155"/>
      <c r="AG157" s="155"/>
      <c r="AH157" s="148"/>
      <c r="AI157" s="148"/>
    </row>
    <row r="158" spans="1:35" ht="15" customHeight="1">
      <c r="A158" s="110"/>
      <c r="B158" s="242">
        <v>640</v>
      </c>
      <c r="C158" s="242">
        <v>600</v>
      </c>
      <c r="D158" s="242">
        <v>610</v>
      </c>
      <c r="E158" s="242">
        <v>640</v>
      </c>
      <c r="F158" s="242">
        <v>630</v>
      </c>
      <c r="G158" s="242">
        <v>690</v>
      </c>
      <c r="H158" s="242">
        <v>660</v>
      </c>
      <c r="I158" s="242">
        <v>600</v>
      </c>
      <c r="J158" s="242">
        <v>470</v>
      </c>
      <c r="K158" s="242">
        <v>630</v>
      </c>
      <c r="L158" s="337">
        <v>800</v>
      </c>
      <c r="M158" s="337">
        <v>790</v>
      </c>
      <c r="N158" s="337">
        <v>530</v>
      </c>
      <c r="AA158" s="155"/>
      <c r="AB158" s="155"/>
      <c r="AC158" s="155"/>
      <c r="AD158" s="155"/>
      <c r="AE158" s="155"/>
      <c r="AF158" s="155"/>
      <c r="AG158" s="155"/>
      <c r="AH158" s="148"/>
      <c r="AI158" s="148"/>
    </row>
    <row r="159" spans="1:35" ht="15" customHeight="1">
      <c r="A159" s="110"/>
      <c r="B159" s="243">
        <v>2.6000000000000002E-2</v>
      </c>
      <c r="C159" s="243">
        <v>2.4E-2</v>
      </c>
      <c r="D159" s="243">
        <v>2.5000000000000001E-2</v>
      </c>
      <c r="E159" s="243">
        <v>2.6000000000000002E-2</v>
      </c>
      <c r="F159" s="243">
        <v>2.6000000000000002E-2</v>
      </c>
      <c r="G159" s="243">
        <v>2.7999999999999997E-2</v>
      </c>
      <c r="H159" s="243">
        <v>2.7000000000000003E-2</v>
      </c>
      <c r="I159" s="243">
        <v>2.4E-2</v>
      </c>
      <c r="J159" s="243">
        <v>1.9E-2</v>
      </c>
      <c r="K159" s="243">
        <v>2.5000000000000001E-2</v>
      </c>
      <c r="L159" s="338">
        <v>3.3000000000000002E-2</v>
      </c>
      <c r="M159" s="338">
        <v>3.3000000000000002E-2</v>
      </c>
      <c r="N159" s="338">
        <v>2.2000000000000002E-2</v>
      </c>
      <c r="AA159" s="156"/>
      <c r="AB159" s="156"/>
      <c r="AC159" s="156"/>
      <c r="AD159" s="156"/>
      <c r="AE159" s="156"/>
      <c r="AF159" s="156"/>
      <c r="AG159" s="156"/>
      <c r="AH159" s="148"/>
      <c r="AI159" s="148"/>
    </row>
    <row r="160" spans="1:35" ht="15" customHeight="1">
      <c r="A160" s="110" t="s">
        <v>108</v>
      </c>
      <c r="B160" s="242"/>
      <c r="C160" s="242"/>
      <c r="D160" s="242"/>
      <c r="E160" s="242"/>
      <c r="F160" s="242"/>
      <c r="G160" s="242"/>
      <c r="H160" s="242"/>
      <c r="I160" s="242"/>
      <c r="J160" s="242"/>
      <c r="K160" s="242"/>
      <c r="L160" s="337"/>
      <c r="M160" s="337"/>
      <c r="N160" s="337"/>
      <c r="AA160" s="155"/>
      <c r="AB160" s="155"/>
      <c r="AC160" s="155"/>
      <c r="AD160" s="155"/>
      <c r="AE160" s="155"/>
      <c r="AF160" s="155"/>
      <c r="AG160" s="155"/>
      <c r="AH160" s="149"/>
      <c r="AI160" s="149"/>
    </row>
    <row r="161" spans="1:35" ht="15" customHeight="1">
      <c r="A161" s="110"/>
      <c r="B161" s="242">
        <v>11600</v>
      </c>
      <c r="C161" s="242">
        <v>11410</v>
      </c>
      <c r="D161" s="242">
        <v>11430</v>
      </c>
      <c r="E161" s="242">
        <v>11350</v>
      </c>
      <c r="F161" s="242">
        <v>11450</v>
      </c>
      <c r="G161" s="242">
        <v>11360</v>
      </c>
      <c r="H161" s="242">
        <v>11340</v>
      </c>
      <c r="I161" s="242">
        <v>11200</v>
      </c>
      <c r="J161" s="242">
        <v>11370</v>
      </c>
      <c r="K161" s="242">
        <v>11890</v>
      </c>
      <c r="L161" s="337">
        <v>12050</v>
      </c>
      <c r="M161" s="337">
        <v>12110</v>
      </c>
      <c r="N161" s="337">
        <v>11700</v>
      </c>
      <c r="AA161" s="155"/>
      <c r="AB161" s="155"/>
      <c r="AC161" s="155"/>
      <c r="AD161" s="155"/>
      <c r="AE161" s="155"/>
      <c r="AF161" s="155"/>
      <c r="AG161" s="155"/>
      <c r="AH161" s="148"/>
      <c r="AI161" s="148"/>
    </row>
    <row r="162" spans="1:35" ht="15" customHeight="1">
      <c r="A162" s="110"/>
      <c r="B162" s="242">
        <v>11300</v>
      </c>
      <c r="C162" s="242">
        <v>11130</v>
      </c>
      <c r="D162" s="242">
        <v>11130</v>
      </c>
      <c r="E162" s="242">
        <v>11040</v>
      </c>
      <c r="F162" s="242">
        <v>11150</v>
      </c>
      <c r="G162" s="242">
        <v>11030</v>
      </c>
      <c r="H162" s="242">
        <v>11010</v>
      </c>
      <c r="I162" s="242">
        <v>10930</v>
      </c>
      <c r="J162" s="242">
        <v>11160</v>
      </c>
      <c r="K162" s="242">
        <v>11620</v>
      </c>
      <c r="L162" s="337">
        <v>11720</v>
      </c>
      <c r="M162" s="337">
        <v>11750</v>
      </c>
      <c r="N162" s="337">
        <v>11470</v>
      </c>
      <c r="AA162" s="155"/>
      <c r="AB162" s="155"/>
      <c r="AC162" s="155"/>
      <c r="AD162" s="155"/>
      <c r="AE162" s="155"/>
      <c r="AF162" s="155"/>
      <c r="AG162" s="155"/>
      <c r="AH162" s="148"/>
      <c r="AI162" s="148"/>
    </row>
    <row r="163" spans="1:35" ht="15" customHeight="1">
      <c r="A163" s="110"/>
      <c r="B163" s="242">
        <v>300</v>
      </c>
      <c r="C163" s="242">
        <v>280</v>
      </c>
      <c r="D163" s="242">
        <v>300</v>
      </c>
      <c r="E163" s="242">
        <v>310</v>
      </c>
      <c r="F163" s="242">
        <v>300</v>
      </c>
      <c r="G163" s="242">
        <v>330</v>
      </c>
      <c r="H163" s="242">
        <v>330</v>
      </c>
      <c r="I163" s="242">
        <v>270</v>
      </c>
      <c r="J163" s="242">
        <v>210</v>
      </c>
      <c r="K163" s="242">
        <v>270</v>
      </c>
      <c r="L163" s="337">
        <v>330</v>
      </c>
      <c r="M163" s="337">
        <v>360</v>
      </c>
      <c r="N163" s="337">
        <v>230</v>
      </c>
      <c r="AA163" s="155"/>
      <c r="AB163" s="155"/>
      <c r="AC163" s="155"/>
      <c r="AD163" s="155"/>
      <c r="AE163" s="155"/>
      <c r="AF163" s="155"/>
      <c r="AG163" s="155"/>
      <c r="AH163" s="148"/>
      <c r="AI163" s="148"/>
    </row>
    <row r="164" spans="1:35" ht="15" customHeight="1">
      <c r="A164" s="110"/>
      <c r="B164" s="243">
        <v>2.6000000000000002E-2</v>
      </c>
      <c r="C164" s="243">
        <v>2.5000000000000001E-2</v>
      </c>
      <c r="D164" s="243">
        <v>2.7000000000000003E-2</v>
      </c>
      <c r="E164" s="243">
        <v>2.7999999999999997E-2</v>
      </c>
      <c r="F164" s="243">
        <v>2.6000000000000002E-2</v>
      </c>
      <c r="G164" s="243">
        <v>2.8999999999999998E-2</v>
      </c>
      <c r="H164" s="243">
        <v>2.8999999999999998E-2</v>
      </c>
      <c r="I164" s="243">
        <v>2.4E-2</v>
      </c>
      <c r="J164" s="243">
        <v>1.8000000000000002E-2</v>
      </c>
      <c r="K164" s="243">
        <v>2.3E-2</v>
      </c>
      <c r="L164" s="338">
        <v>2.7000000000000003E-2</v>
      </c>
      <c r="M164" s="338">
        <v>0.03</v>
      </c>
      <c r="N164" s="338">
        <v>0.02</v>
      </c>
      <c r="AA164" s="156"/>
      <c r="AB164" s="156"/>
      <c r="AC164" s="156"/>
      <c r="AD164" s="156"/>
      <c r="AE164" s="156"/>
      <c r="AF164" s="156"/>
      <c r="AG164" s="156"/>
      <c r="AH164" s="148"/>
      <c r="AI164" s="148"/>
    </row>
    <row r="165" spans="1:35" ht="15" customHeight="1">
      <c r="A165" s="110" t="s">
        <v>349</v>
      </c>
      <c r="B165" s="242"/>
      <c r="C165" s="242"/>
      <c r="D165" s="242"/>
      <c r="E165" s="242"/>
      <c r="F165" s="242"/>
      <c r="G165" s="242"/>
      <c r="H165" s="242"/>
      <c r="I165" s="242"/>
      <c r="J165" s="242"/>
      <c r="K165" s="242"/>
      <c r="L165" s="337"/>
      <c r="M165" s="337"/>
      <c r="N165" s="337"/>
      <c r="AA165" s="155"/>
      <c r="AB165" s="155"/>
      <c r="AC165" s="155"/>
      <c r="AD165" s="155"/>
      <c r="AE165" s="155"/>
      <c r="AF165" s="155"/>
      <c r="AG165" s="155"/>
      <c r="AH165" s="149"/>
      <c r="AI165" s="149"/>
    </row>
    <row r="166" spans="1:35" ht="15" customHeight="1">
      <c r="A166" s="110"/>
      <c r="B166" s="242">
        <v>24600</v>
      </c>
      <c r="C166" s="242">
        <v>24580</v>
      </c>
      <c r="D166" s="242">
        <v>24780</v>
      </c>
      <c r="E166" s="242">
        <v>24620</v>
      </c>
      <c r="F166" s="242">
        <v>24880</v>
      </c>
      <c r="G166" s="242">
        <v>24470</v>
      </c>
      <c r="H166" s="242">
        <v>25040</v>
      </c>
      <c r="I166" s="242">
        <v>24980</v>
      </c>
      <c r="J166" s="242">
        <v>24900</v>
      </c>
      <c r="K166" s="242">
        <v>25320</v>
      </c>
      <c r="L166" s="337">
        <v>25320</v>
      </c>
      <c r="M166" s="337">
        <v>25460</v>
      </c>
      <c r="N166" s="337">
        <v>24960</v>
      </c>
      <c r="AA166" s="155"/>
      <c r="AB166" s="155"/>
      <c r="AC166" s="155"/>
      <c r="AD166" s="155"/>
      <c r="AE166" s="155"/>
      <c r="AF166" s="155"/>
      <c r="AG166" s="155"/>
      <c r="AH166" s="148"/>
      <c r="AI166" s="148"/>
    </row>
    <row r="167" spans="1:35" ht="15" customHeight="1">
      <c r="A167" s="110"/>
      <c r="B167" s="242">
        <v>24020</v>
      </c>
      <c r="C167" s="242">
        <v>24070</v>
      </c>
      <c r="D167" s="242">
        <v>24250</v>
      </c>
      <c r="E167" s="242">
        <v>24100</v>
      </c>
      <c r="F167" s="242">
        <v>24410</v>
      </c>
      <c r="G167" s="242">
        <v>23960</v>
      </c>
      <c r="H167" s="242">
        <v>24530</v>
      </c>
      <c r="I167" s="242">
        <v>24500</v>
      </c>
      <c r="J167" s="242">
        <v>24510</v>
      </c>
      <c r="K167" s="242">
        <v>24760</v>
      </c>
      <c r="L167" s="337">
        <v>24640</v>
      </c>
      <c r="M167" s="337">
        <v>24750</v>
      </c>
      <c r="N167" s="337">
        <v>24500</v>
      </c>
      <c r="AA167" s="155"/>
      <c r="AB167" s="155"/>
      <c r="AC167" s="155"/>
      <c r="AD167" s="155"/>
      <c r="AE167" s="155"/>
      <c r="AF167" s="155"/>
      <c r="AG167" s="155"/>
      <c r="AH167" s="148"/>
      <c r="AI167" s="148"/>
    </row>
    <row r="168" spans="1:35" ht="15" customHeight="1">
      <c r="A168" s="110"/>
      <c r="B168" s="242">
        <v>580</v>
      </c>
      <c r="C168" s="242">
        <v>510</v>
      </c>
      <c r="D168" s="242">
        <v>530</v>
      </c>
      <c r="E168" s="242">
        <v>520</v>
      </c>
      <c r="F168" s="242">
        <v>470</v>
      </c>
      <c r="G168" s="242">
        <v>510</v>
      </c>
      <c r="H168" s="242">
        <v>510</v>
      </c>
      <c r="I168" s="242">
        <v>480</v>
      </c>
      <c r="J168" s="242">
        <v>390</v>
      </c>
      <c r="K168" s="242">
        <v>560</v>
      </c>
      <c r="L168" s="337">
        <v>680</v>
      </c>
      <c r="M168" s="337">
        <v>710</v>
      </c>
      <c r="N168" s="337">
        <v>460</v>
      </c>
      <c r="AA168" s="155"/>
      <c r="AB168" s="155"/>
      <c r="AC168" s="155"/>
      <c r="AD168" s="155"/>
      <c r="AE168" s="155"/>
      <c r="AF168" s="155"/>
      <c r="AG168" s="155"/>
      <c r="AH168" s="148"/>
      <c r="AI168" s="148"/>
    </row>
    <row r="169" spans="1:35" ht="15" customHeight="1">
      <c r="A169" s="110"/>
      <c r="B169" s="243">
        <v>2.3E-2</v>
      </c>
      <c r="C169" s="243">
        <v>2.1000000000000001E-2</v>
      </c>
      <c r="D169" s="243">
        <v>2.1000000000000001E-2</v>
      </c>
      <c r="E169" s="243">
        <v>2.1000000000000001E-2</v>
      </c>
      <c r="F169" s="243">
        <v>1.9E-2</v>
      </c>
      <c r="G169" s="243">
        <v>2.1000000000000001E-2</v>
      </c>
      <c r="H169" s="243">
        <v>0.02</v>
      </c>
      <c r="I169" s="243">
        <v>1.9E-2</v>
      </c>
      <c r="J169" s="243">
        <v>1.6E-2</v>
      </c>
      <c r="K169" s="243">
        <v>2.2000000000000002E-2</v>
      </c>
      <c r="L169" s="338">
        <v>2.7000000000000003E-2</v>
      </c>
      <c r="M169" s="338">
        <v>2.7999999999999997E-2</v>
      </c>
      <c r="N169" s="338">
        <v>1.8000000000000002E-2</v>
      </c>
      <c r="AA169" s="156"/>
      <c r="AB169" s="156"/>
      <c r="AC169" s="156"/>
      <c r="AD169" s="156"/>
      <c r="AE169" s="156"/>
      <c r="AF169" s="156"/>
      <c r="AG169" s="156"/>
      <c r="AH169" s="148"/>
      <c r="AI169" s="148"/>
    </row>
    <row r="170" spans="1:35" ht="15" customHeight="1">
      <c r="A170" s="110" t="s">
        <v>357</v>
      </c>
      <c r="B170" s="242"/>
      <c r="C170" s="242"/>
      <c r="D170" s="242"/>
      <c r="E170" s="242"/>
      <c r="F170" s="242"/>
      <c r="G170" s="242"/>
      <c r="H170" s="242"/>
      <c r="I170" s="242"/>
      <c r="J170" s="242"/>
      <c r="K170" s="242"/>
      <c r="L170" s="337"/>
      <c r="M170" s="337"/>
      <c r="N170" s="337"/>
      <c r="AA170" s="155"/>
      <c r="AB170" s="155"/>
      <c r="AC170" s="155"/>
      <c r="AD170" s="155"/>
      <c r="AE170" s="155"/>
      <c r="AF170" s="155"/>
      <c r="AG170" s="155"/>
      <c r="AH170" s="149"/>
      <c r="AI170" s="149"/>
    </row>
    <row r="171" spans="1:35" ht="15" customHeight="1">
      <c r="A171" s="110"/>
      <c r="B171" s="242">
        <v>45000</v>
      </c>
      <c r="C171" s="242">
        <v>44850</v>
      </c>
      <c r="D171" s="242">
        <v>45170</v>
      </c>
      <c r="E171" s="242">
        <v>44920</v>
      </c>
      <c r="F171" s="242">
        <v>45260</v>
      </c>
      <c r="G171" s="242">
        <v>44700</v>
      </c>
      <c r="H171" s="242">
        <v>45690</v>
      </c>
      <c r="I171" s="242">
        <v>45560</v>
      </c>
      <c r="J171" s="242">
        <v>45600</v>
      </c>
      <c r="K171" s="242">
        <v>46550</v>
      </c>
      <c r="L171" s="337">
        <v>46720</v>
      </c>
      <c r="M171" s="337">
        <v>46710</v>
      </c>
      <c r="N171" s="337">
        <v>45640</v>
      </c>
      <c r="AA171" s="155"/>
      <c r="AB171" s="155"/>
      <c r="AC171" s="155"/>
      <c r="AD171" s="155"/>
      <c r="AE171" s="155"/>
      <c r="AF171" s="155"/>
      <c r="AG171" s="155"/>
      <c r="AH171" s="148"/>
      <c r="AI171" s="148"/>
    </row>
    <row r="172" spans="1:35" ht="15" customHeight="1">
      <c r="A172" s="110"/>
      <c r="B172" s="242">
        <v>44070</v>
      </c>
      <c r="C172" s="242">
        <v>44040</v>
      </c>
      <c r="D172" s="242">
        <v>44290</v>
      </c>
      <c r="E172" s="242">
        <v>44020</v>
      </c>
      <c r="F172" s="242">
        <v>44370</v>
      </c>
      <c r="G172" s="242">
        <v>43750</v>
      </c>
      <c r="H172" s="242">
        <v>44840</v>
      </c>
      <c r="I172" s="242">
        <v>44690</v>
      </c>
      <c r="J172" s="242">
        <v>44860</v>
      </c>
      <c r="K172" s="242">
        <v>45630</v>
      </c>
      <c r="L172" s="337">
        <v>45670</v>
      </c>
      <c r="M172" s="337">
        <v>45590</v>
      </c>
      <c r="N172" s="337">
        <v>44780</v>
      </c>
      <c r="AA172" s="155"/>
      <c r="AB172" s="155"/>
      <c r="AC172" s="155"/>
      <c r="AD172" s="155"/>
      <c r="AE172" s="155"/>
      <c r="AF172" s="155"/>
      <c r="AG172" s="155"/>
      <c r="AH172" s="148"/>
      <c r="AI172" s="148"/>
    </row>
    <row r="173" spans="1:35" ht="15" customHeight="1">
      <c r="A173" s="110"/>
      <c r="B173" s="242">
        <v>930</v>
      </c>
      <c r="C173" s="242">
        <v>810</v>
      </c>
      <c r="D173" s="242">
        <v>880</v>
      </c>
      <c r="E173" s="242">
        <v>900</v>
      </c>
      <c r="F173" s="242">
        <v>890</v>
      </c>
      <c r="G173" s="242">
        <v>950</v>
      </c>
      <c r="H173" s="242">
        <v>850</v>
      </c>
      <c r="I173" s="242">
        <v>870</v>
      </c>
      <c r="J173" s="242">
        <v>740</v>
      </c>
      <c r="K173" s="242">
        <v>920</v>
      </c>
      <c r="L173" s="337">
        <v>1050</v>
      </c>
      <c r="M173" s="337">
        <v>1120</v>
      </c>
      <c r="N173" s="337">
        <v>860</v>
      </c>
      <c r="AA173" s="155"/>
      <c r="AB173" s="155"/>
      <c r="AC173" s="155"/>
      <c r="AD173" s="155"/>
      <c r="AE173" s="155"/>
      <c r="AF173" s="155"/>
      <c r="AG173" s="155"/>
      <c r="AH173" s="148"/>
      <c r="AI173" s="148"/>
    </row>
    <row r="174" spans="1:35" ht="15" customHeight="1">
      <c r="A174" s="110"/>
      <c r="B174" s="243">
        <v>2.1000000000000001E-2</v>
      </c>
      <c r="C174" s="243">
        <v>1.8000000000000002E-2</v>
      </c>
      <c r="D174" s="243">
        <v>1.9E-2</v>
      </c>
      <c r="E174" s="243">
        <v>0.02</v>
      </c>
      <c r="F174" s="243">
        <v>0.02</v>
      </c>
      <c r="G174" s="243">
        <v>2.1000000000000001E-2</v>
      </c>
      <c r="H174" s="243">
        <v>1.9E-2</v>
      </c>
      <c r="I174" s="243">
        <v>1.9E-2</v>
      </c>
      <c r="J174" s="243">
        <v>1.6E-2</v>
      </c>
      <c r="K174" s="243">
        <v>0.02</v>
      </c>
      <c r="L174" s="338">
        <v>2.2000000000000002E-2</v>
      </c>
      <c r="M174" s="338">
        <v>2.4E-2</v>
      </c>
      <c r="N174" s="338">
        <v>1.9E-2</v>
      </c>
      <c r="AA174" s="156"/>
      <c r="AB174" s="156"/>
      <c r="AC174" s="156"/>
      <c r="AD174" s="156"/>
      <c r="AE174" s="156"/>
      <c r="AF174" s="156"/>
      <c r="AG174" s="156"/>
      <c r="AH174" s="148"/>
      <c r="AI174" s="148"/>
    </row>
    <row r="175" spans="1:35" ht="15" customHeight="1">
      <c r="A175" s="110" t="s">
        <v>350</v>
      </c>
      <c r="B175" s="242"/>
      <c r="C175" s="242"/>
      <c r="D175" s="242"/>
      <c r="E175" s="242"/>
      <c r="F175" s="242"/>
      <c r="G175" s="242"/>
      <c r="H175" s="242"/>
      <c r="I175" s="242"/>
      <c r="J175" s="242"/>
      <c r="K175" s="242"/>
      <c r="L175" s="337"/>
      <c r="M175" s="337"/>
      <c r="N175" s="337"/>
      <c r="AA175" s="155"/>
      <c r="AB175" s="155"/>
      <c r="AC175" s="155"/>
      <c r="AD175" s="155"/>
      <c r="AE175" s="155"/>
      <c r="AF175" s="155"/>
      <c r="AG175" s="155"/>
      <c r="AH175" s="149"/>
      <c r="AI175" s="149"/>
    </row>
    <row r="176" spans="1:35" ht="15" customHeight="1">
      <c r="A176" s="110"/>
      <c r="B176" s="242">
        <v>13050</v>
      </c>
      <c r="C176" s="242">
        <v>13040</v>
      </c>
      <c r="D176" s="242">
        <v>12880</v>
      </c>
      <c r="E176" s="242">
        <v>13150</v>
      </c>
      <c r="F176" s="242">
        <v>13210</v>
      </c>
      <c r="G176" s="242">
        <v>12910</v>
      </c>
      <c r="H176" s="242">
        <v>13230</v>
      </c>
      <c r="I176" s="242">
        <v>12830</v>
      </c>
      <c r="J176" s="242">
        <v>13010</v>
      </c>
      <c r="K176" s="242">
        <v>13410</v>
      </c>
      <c r="L176" s="337">
        <v>13610</v>
      </c>
      <c r="M176" s="337">
        <v>13770</v>
      </c>
      <c r="N176" s="337">
        <v>13370</v>
      </c>
      <c r="AA176" s="155"/>
      <c r="AB176" s="155"/>
      <c r="AC176" s="155"/>
      <c r="AD176" s="155"/>
      <c r="AE176" s="155"/>
      <c r="AF176" s="155"/>
      <c r="AG176" s="155"/>
      <c r="AH176" s="148"/>
      <c r="AI176" s="148"/>
    </row>
    <row r="177" spans="1:35" ht="15" customHeight="1">
      <c r="A177" s="110"/>
      <c r="B177" s="242">
        <v>12780</v>
      </c>
      <c r="C177" s="242">
        <v>12770</v>
      </c>
      <c r="D177" s="242">
        <v>12570</v>
      </c>
      <c r="E177" s="242">
        <v>12830</v>
      </c>
      <c r="F177" s="242">
        <v>12910</v>
      </c>
      <c r="G177" s="242">
        <v>12570</v>
      </c>
      <c r="H177" s="242">
        <v>12890</v>
      </c>
      <c r="I177" s="242">
        <v>12560</v>
      </c>
      <c r="J177" s="242">
        <v>12800</v>
      </c>
      <c r="K177" s="242">
        <v>13140</v>
      </c>
      <c r="L177" s="337">
        <v>13260</v>
      </c>
      <c r="M177" s="337">
        <v>13400</v>
      </c>
      <c r="N177" s="337">
        <v>13150</v>
      </c>
      <c r="AA177" s="155"/>
      <c r="AB177" s="155"/>
      <c r="AC177" s="155"/>
      <c r="AD177" s="155"/>
      <c r="AE177" s="155"/>
      <c r="AF177" s="155"/>
      <c r="AG177" s="155"/>
      <c r="AH177" s="148"/>
      <c r="AI177" s="148"/>
    </row>
    <row r="178" spans="1:35" ht="15" customHeight="1">
      <c r="A178" s="110"/>
      <c r="B178" s="242">
        <v>270</v>
      </c>
      <c r="C178" s="242">
        <v>270</v>
      </c>
      <c r="D178" s="242">
        <v>310</v>
      </c>
      <c r="E178" s="242">
        <v>320</v>
      </c>
      <c r="F178" s="242">
        <v>300</v>
      </c>
      <c r="G178" s="242">
        <v>340</v>
      </c>
      <c r="H178" s="242">
        <v>340</v>
      </c>
      <c r="I178" s="242">
        <v>270</v>
      </c>
      <c r="J178" s="242">
        <v>210</v>
      </c>
      <c r="K178" s="242">
        <v>270</v>
      </c>
      <c r="L178" s="337">
        <v>350</v>
      </c>
      <c r="M178" s="337">
        <v>370</v>
      </c>
      <c r="N178" s="337">
        <v>220</v>
      </c>
      <c r="AA178" s="155"/>
      <c r="AB178" s="155"/>
      <c r="AC178" s="155"/>
      <c r="AD178" s="155"/>
      <c r="AE178" s="155"/>
      <c r="AF178" s="155"/>
      <c r="AG178" s="155"/>
      <c r="AH178" s="148"/>
      <c r="AI178" s="148"/>
    </row>
    <row r="179" spans="1:35" ht="15" customHeight="1">
      <c r="A179" s="110"/>
      <c r="B179" s="243">
        <v>2.1000000000000001E-2</v>
      </c>
      <c r="C179" s="243">
        <v>2.1000000000000001E-2</v>
      </c>
      <c r="D179" s="243">
        <v>2.4E-2</v>
      </c>
      <c r="E179" s="243">
        <v>2.4E-2</v>
      </c>
      <c r="F179" s="243">
        <v>2.3E-2</v>
      </c>
      <c r="G179" s="243">
        <v>2.6000000000000002E-2</v>
      </c>
      <c r="H179" s="243">
        <v>2.6000000000000002E-2</v>
      </c>
      <c r="I179" s="243">
        <v>2.1000000000000001E-2</v>
      </c>
      <c r="J179" s="243">
        <v>1.6E-2</v>
      </c>
      <c r="K179" s="243">
        <v>0.02</v>
      </c>
      <c r="L179" s="338">
        <v>2.5000000000000001E-2</v>
      </c>
      <c r="M179" s="338">
        <v>2.7000000000000003E-2</v>
      </c>
      <c r="N179" s="338">
        <v>1.6E-2</v>
      </c>
      <c r="AA179" s="156"/>
      <c r="AB179" s="156"/>
      <c r="AC179" s="156"/>
      <c r="AD179" s="156"/>
      <c r="AE179" s="156"/>
      <c r="AF179" s="156"/>
      <c r="AG179" s="156"/>
      <c r="AH179" s="148"/>
      <c r="AI179" s="148"/>
    </row>
    <row r="180" spans="1:35" ht="15" customHeight="1">
      <c r="A180" s="110" t="s">
        <v>118</v>
      </c>
      <c r="B180" s="242"/>
      <c r="C180" s="242"/>
      <c r="D180" s="242"/>
      <c r="E180" s="242"/>
      <c r="F180" s="242"/>
      <c r="G180" s="242"/>
      <c r="H180" s="242"/>
      <c r="I180" s="242"/>
      <c r="J180" s="242"/>
      <c r="K180" s="242"/>
      <c r="L180" s="337"/>
      <c r="M180" s="337"/>
      <c r="N180" s="337"/>
      <c r="AA180" s="155"/>
      <c r="AB180" s="155"/>
      <c r="AC180" s="155"/>
      <c r="AD180" s="155"/>
      <c r="AE180" s="155"/>
      <c r="AF180" s="155"/>
      <c r="AG180" s="155"/>
      <c r="AH180" s="149"/>
      <c r="AI180" s="149"/>
    </row>
    <row r="181" spans="1:35" ht="15" customHeight="1">
      <c r="A181" s="110"/>
      <c r="B181" s="242">
        <v>13910</v>
      </c>
      <c r="C181" s="242">
        <v>13890</v>
      </c>
      <c r="D181" s="242">
        <v>13730</v>
      </c>
      <c r="E181" s="242">
        <v>14010</v>
      </c>
      <c r="F181" s="242">
        <v>14080</v>
      </c>
      <c r="G181" s="242">
        <v>13760</v>
      </c>
      <c r="H181" s="242">
        <v>14100</v>
      </c>
      <c r="I181" s="242">
        <v>13690</v>
      </c>
      <c r="J181" s="242">
        <v>13880</v>
      </c>
      <c r="K181" s="242">
        <v>14310</v>
      </c>
      <c r="L181" s="337">
        <v>14490</v>
      </c>
      <c r="M181" s="337">
        <v>14670</v>
      </c>
      <c r="N181" s="337">
        <v>14230</v>
      </c>
      <c r="AA181" s="155"/>
      <c r="AB181" s="155"/>
      <c r="AC181" s="155"/>
      <c r="AD181" s="155"/>
      <c r="AE181" s="155"/>
      <c r="AF181" s="155"/>
      <c r="AG181" s="155"/>
      <c r="AH181" s="148"/>
      <c r="AI181" s="148"/>
    </row>
    <row r="182" spans="1:35" ht="15" customHeight="1">
      <c r="A182" s="110"/>
      <c r="B182" s="242">
        <v>13620</v>
      </c>
      <c r="C182" s="242">
        <v>13600</v>
      </c>
      <c r="D182" s="242">
        <v>13400</v>
      </c>
      <c r="E182" s="242">
        <v>13660</v>
      </c>
      <c r="F182" s="242">
        <v>13740</v>
      </c>
      <c r="G182" s="242">
        <v>13390</v>
      </c>
      <c r="H182" s="242">
        <v>13730</v>
      </c>
      <c r="I182" s="242">
        <v>13390</v>
      </c>
      <c r="J182" s="242">
        <v>13640</v>
      </c>
      <c r="K182" s="242">
        <v>14010</v>
      </c>
      <c r="L182" s="337">
        <v>14120</v>
      </c>
      <c r="M182" s="337">
        <v>14270</v>
      </c>
      <c r="N182" s="337">
        <v>13990</v>
      </c>
      <c r="AA182" s="155"/>
      <c r="AB182" s="155"/>
      <c r="AC182" s="155"/>
      <c r="AD182" s="155"/>
      <c r="AE182" s="155"/>
      <c r="AF182" s="155"/>
      <c r="AG182" s="155"/>
      <c r="AH182" s="148"/>
      <c r="AI182" s="148"/>
    </row>
    <row r="183" spans="1:35" ht="15" customHeight="1">
      <c r="A183" s="110"/>
      <c r="B183" s="242">
        <v>290</v>
      </c>
      <c r="C183" s="242">
        <v>290</v>
      </c>
      <c r="D183" s="242">
        <v>330</v>
      </c>
      <c r="E183" s="242">
        <v>350</v>
      </c>
      <c r="F183" s="242">
        <v>340</v>
      </c>
      <c r="G183" s="242">
        <v>370</v>
      </c>
      <c r="H183" s="242">
        <v>370</v>
      </c>
      <c r="I183" s="242">
        <v>300</v>
      </c>
      <c r="J183" s="242">
        <v>240</v>
      </c>
      <c r="K183" s="242">
        <v>300</v>
      </c>
      <c r="L183" s="337">
        <v>370</v>
      </c>
      <c r="M183" s="337">
        <v>400</v>
      </c>
      <c r="N183" s="337">
        <v>240</v>
      </c>
      <c r="AA183" s="155"/>
      <c r="AB183" s="155"/>
      <c r="AC183" s="155"/>
      <c r="AD183" s="155"/>
      <c r="AE183" s="155"/>
      <c r="AF183" s="155"/>
      <c r="AG183" s="155"/>
      <c r="AH183" s="148"/>
      <c r="AI183" s="148"/>
    </row>
    <row r="184" spans="1:35" ht="15" customHeight="1">
      <c r="A184" s="110"/>
      <c r="B184" s="243">
        <v>2.1000000000000001E-2</v>
      </c>
      <c r="C184" s="243">
        <v>2.1000000000000001E-2</v>
      </c>
      <c r="D184" s="243">
        <v>2.4E-2</v>
      </c>
      <c r="E184" s="243">
        <v>2.5000000000000001E-2</v>
      </c>
      <c r="F184" s="243">
        <v>2.4E-2</v>
      </c>
      <c r="G184" s="243">
        <v>2.7000000000000003E-2</v>
      </c>
      <c r="H184" s="243">
        <v>2.6000000000000002E-2</v>
      </c>
      <c r="I184" s="243">
        <v>2.2000000000000002E-2</v>
      </c>
      <c r="J184" s="243">
        <v>1.7000000000000001E-2</v>
      </c>
      <c r="K184" s="243">
        <v>2.1000000000000001E-2</v>
      </c>
      <c r="L184" s="338">
        <v>2.5000000000000001E-2</v>
      </c>
      <c r="M184" s="338">
        <v>2.7000000000000003E-2</v>
      </c>
      <c r="N184" s="338">
        <v>1.7000000000000001E-2</v>
      </c>
      <c r="AA184" s="156"/>
      <c r="AB184" s="156"/>
      <c r="AC184" s="156"/>
      <c r="AD184" s="156"/>
      <c r="AE184" s="156"/>
      <c r="AF184" s="156"/>
      <c r="AG184" s="156"/>
      <c r="AH184" s="148"/>
      <c r="AI184" s="148"/>
    </row>
    <row r="185" spans="1:35" ht="15" customHeight="1">
      <c r="A185" s="110" t="s">
        <v>109</v>
      </c>
      <c r="B185" s="242"/>
      <c r="C185" s="242"/>
      <c r="D185" s="242"/>
      <c r="E185" s="242"/>
      <c r="F185" s="242"/>
      <c r="G185" s="242"/>
      <c r="H185" s="242"/>
      <c r="I185" s="242"/>
      <c r="J185" s="242"/>
      <c r="K185" s="242"/>
      <c r="L185" s="337"/>
      <c r="M185" s="337"/>
      <c r="N185" s="337"/>
      <c r="AA185" s="155"/>
      <c r="AB185" s="155"/>
      <c r="AC185" s="155"/>
      <c r="AD185" s="155"/>
      <c r="AE185" s="155"/>
      <c r="AF185" s="155"/>
      <c r="AG185" s="155"/>
      <c r="AH185" s="149"/>
      <c r="AI185" s="149"/>
    </row>
    <row r="186" spans="1:35" ht="15" customHeight="1">
      <c r="A186" s="110"/>
      <c r="B186" s="242">
        <v>120180</v>
      </c>
      <c r="C186" s="242">
        <v>120630</v>
      </c>
      <c r="D186" s="242">
        <v>121310</v>
      </c>
      <c r="E186" s="242">
        <v>120420</v>
      </c>
      <c r="F186" s="242">
        <v>121790</v>
      </c>
      <c r="G186" s="242">
        <v>122280</v>
      </c>
      <c r="H186" s="242">
        <v>123000</v>
      </c>
      <c r="I186" s="242">
        <v>122510</v>
      </c>
      <c r="J186" s="242">
        <v>121990</v>
      </c>
      <c r="K186" s="242">
        <v>121870</v>
      </c>
      <c r="L186" s="337">
        <v>122410</v>
      </c>
      <c r="M186" s="337">
        <v>123070</v>
      </c>
      <c r="N186" s="337">
        <v>123620</v>
      </c>
      <c r="AA186" s="155"/>
      <c r="AB186" s="155"/>
      <c r="AC186" s="155"/>
      <c r="AD186" s="155"/>
      <c r="AE186" s="155"/>
      <c r="AF186" s="155"/>
      <c r="AG186" s="155"/>
      <c r="AH186" s="148"/>
      <c r="AI186" s="148"/>
    </row>
    <row r="187" spans="1:35" ht="15" customHeight="1">
      <c r="A187" s="110"/>
      <c r="B187" s="242">
        <v>117430</v>
      </c>
      <c r="C187" s="242">
        <v>117940</v>
      </c>
      <c r="D187" s="242">
        <v>118270</v>
      </c>
      <c r="E187" s="242">
        <v>117350</v>
      </c>
      <c r="F187" s="242">
        <v>118770</v>
      </c>
      <c r="G187" s="242">
        <v>118840</v>
      </c>
      <c r="H187" s="242">
        <v>119640</v>
      </c>
      <c r="I187" s="242">
        <v>119590</v>
      </c>
      <c r="J187" s="242">
        <v>119580</v>
      </c>
      <c r="K187" s="242">
        <v>118960</v>
      </c>
      <c r="L187" s="337">
        <v>118860</v>
      </c>
      <c r="M187" s="337">
        <v>119450</v>
      </c>
      <c r="N187" s="337">
        <v>121140</v>
      </c>
      <c r="AA187" s="155"/>
      <c r="AB187" s="155"/>
      <c r="AC187" s="155"/>
      <c r="AD187" s="155"/>
      <c r="AE187" s="155"/>
      <c r="AF187" s="155"/>
      <c r="AG187" s="155"/>
      <c r="AH187" s="148"/>
      <c r="AI187" s="148"/>
    </row>
    <row r="188" spans="1:35" ht="15" customHeight="1">
      <c r="A188" s="110"/>
      <c r="B188" s="242">
        <v>2750</v>
      </c>
      <c r="C188" s="242">
        <v>2690</v>
      </c>
      <c r="D188" s="242">
        <v>3040</v>
      </c>
      <c r="E188" s="242">
        <v>3070</v>
      </c>
      <c r="F188" s="242">
        <v>3020</v>
      </c>
      <c r="G188" s="242">
        <v>3440</v>
      </c>
      <c r="H188" s="242">
        <v>3360</v>
      </c>
      <c r="I188" s="242">
        <v>2920</v>
      </c>
      <c r="J188" s="242">
        <v>2410</v>
      </c>
      <c r="K188" s="242">
        <v>2910</v>
      </c>
      <c r="L188" s="337">
        <v>3550</v>
      </c>
      <c r="M188" s="337">
        <v>3620</v>
      </c>
      <c r="N188" s="337">
        <v>2480</v>
      </c>
      <c r="AA188" s="155"/>
      <c r="AB188" s="155"/>
      <c r="AC188" s="155"/>
      <c r="AD188" s="155"/>
      <c r="AE188" s="155"/>
      <c r="AF188" s="155"/>
      <c r="AG188" s="155"/>
      <c r="AH188" s="148"/>
      <c r="AI188" s="148"/>
    </row>
    <row r="189" spans="1:35" ht="15" customHeight="1">
      <c r="A189" s="110"/>
      <c r="B189" s="243">
        <v>2.3E-2</v>
      </c>
      <c r="C189" s="243">
        <v>2.2000000000000002E-2</v>
      </c>
      <c r="D189" s="243">
        <v>2.5000000000000001E-2</v>
      </c>
      <c r="E189" s="243">
        <v>2.6000000000000002E-2</v>
      </c>
      <c r="F189" s="243">
        <v>2.5000000000000001E-2</v>
      </c>
      <c r="G189" s="243">
        <v>2.7999999999999997E-2</v>
      </c>
      <c r="H189" s="243">
        <v>2.7000000000000003E-2</v>
      </c>
      <c r="I189" s="243">
        <v>2.4E-2</v>
      </c>
      <c r="J189" s="243">
        <v>0.02</v>
      </c>
      <c r="K189" s="243">
        <v>2.4E-2</v>
      </c>
      <c r="L189" s="338">
        <v>2.8999999999999998E-2</v>
      </c>
      <c r="M189" s="338">
        <v>2.8999999999999998E-2</v>
      </c>
      <c r="N189" s="338">
        <v>0.02</v>
      </c>
      <c r="AA189" s="156"/>
      <c r="AB189" s="156"/>
      <c r="AC189" s="156"/>
      <c r="AD189" s="156"/>
      <c r="AE189" s="156"/>
      <c r="AF189" s="156"/>
      <c r="AG189" s="156"/>
      <c r="AH189" s="148"/>
      <c r="AI189" s="148"/>
    </row>
    <row r="190" spans="1:35" ht="15" customHeight="1">
      <c r="A190" s="110" t="s">
        <v>351</v>
      </c>
      <c r="B190" s="242"/>
      <c r="C190" s="242"/>
      <c r="D190" s="242"/>
      <c r="E190" s="242"/>
      <c r="F190" s="242"/>
      <c r="G190" s="242"/>
      <c r="H190" s="242"/>
      <c r="I190" s="242"/>
      <c r="J190" s="242"/>
      <c r="K190" s="242"/>
      <c r="L190" s="337"/>
      <c r="M190" s="337"/>
      <c r="N190" s="337"/>
      <c r="AA190" s="155"/>
      <c r="AB190" s="155"/>
      <c r="AC190" s="155"/>
      <c r="AD190" s="155"/>
      <c r="AE190" s="155"/>
      <c r="AF190" s="155"/>
      <c r="AG190" s="155"/>
      <c r="AH190" s="149"/>
      <c r="AI190" s="149"/>
    </row>
    <row r="191" spans="1:35" ht="15" customHeight="1">
      <c r="A191" s="110"/>
      <c r="B191" s="242">
        <v>7350</v>
      </c>
      <c r="C191" s="242">
        <v>7200</v>
      </c>
      <c r="D191" s="242">
        <v>7100</v>
      </c>
      <c r="E191" s="242">
        <v>7010</v>
      </c>
      <c r="F191" s="242">
        <v>6860</v>
      </c>
      <c r="G191" s="242">
        <v>6850</v>
      </c>
      <c r="H191" s="242">
        <v>6930</v>
      </c>
      <c r="I191" s="242">
        <v>6970</v>
      </c>
      <c r="J191" s="242">
        <v>7260</v>
      </c>
      <c r="K191" s="242">
        <v>7900</v>
      </c>
      <c r="L191" s="337">
        <v>8190</v>
      </c>
      <c r="M191" s="337">
        <v>8240</v>
      </c>
      <c r="N191" s="337">
        <v>7520</v>
      </c>
      <c r="AA191" s="155"/>
      <c r="AB191" s="155"/>
      <c r="AC191" s="155"/>
      <c r="AD191" s="155"/>
      <c r="AE191" s="155"/>
      <c r="AF191" s="155"/>
      <c r="AG191" s="155"/>
      <c r="AH191" s="148"/>
      <c r="AI191" s="148"/>
    </row>
    <row r="192" spans="1:35" ht="15" customHeight="1">
      <c r="A192" s="110"/>
      <c r="B192" s="242">
        <v>7180</v>
      </c>
      <c r="C192" s="242">
        <v>7040</v>
      </c>
      <c r="D192" s="242">
        <v>6920</v>
      </c>
      <c r="E192" s="242">
        <v>6840</v>
      </c>
      <c r="F192" s="242">
        <v>6690</v>
      </c>
      <c r="G192" s="242">
        <v>6660</v>
      </c>
      <c r="H192" s="242">
        <v>6740</v>
      </c>
      <c r="I192" s="242">
        <v>6820</v>
      </c>
      <c r="J192" s="242">
        <v>7120</v>
      </c>
      <c r="K192" s="242">
        <v>7730</v>
      </c>
      <c r="L192" s="337">
        <v>7980</v>
      </c>
      <c r="M192" s="337">
        <v>8010</v>
      </c>
      <c r="N192" s="337">
        <v>7370</v>
      </c>
      <c r="AA192" s="155"/>
      <c r="AB192" s="155"/>
      <c r="AC192" s="155"/>
      <c r="AD192" s="155"/>
      <c r="AE192" s="155"/>
      <c r="AF192" s="155"/>
      <c r="AG192" s="155"/>
      <c r="AH192" s="148"/>
      <c r="AI192" s="148"/>
    </row>
    <row r="193" spans="1:35" ht="15" customHeight="1">
      <c r="A193" s="110"/>
      <c r="B193" s="242">
        <v>170</v>
      </c>
      <c r="C193" s="242">
        <v>160</v>
      </c>
      <c r="D193" s="242">
        <v>180</v>
      </c>
      <c r="E193" s="242">
        <v>170</v>
      </c>
      <c r="F193" s="242">
        <v>170</v>
      </c>
      <c r="G193" s="242">
        <v>190</v>
      </c>
      <c r="H193" s="242">
        <v>190</v>
      </c>
      <c r="I193" s="242">
        <v>150</v>
      </c>
      <c r="J193" s="242">
        <v>140</v>
      </c>
      <c r="K193" s="242">
        <v>170</v>
      </c>
      <c r="L193" s="337">
        <v>210</v>
      </c>
      <c r="M193" s="337">
        <v>230</v>
      </c>
      <c r="N193" s="337">
        <v>150</v>
      </c>
      <c r="AA193" s="155"/>
      <c r="AB193" s="155"/>
      <c r="AC193" s="155"/>
      <c r="AD193" s="155"/>
      <c r="AE193" s="155"/>
      <c r="AF193" s="155"/>
      <c r="AG193" s="155"/>
      <c r="AH193" s="148"/>
      <c r="AI193" s="148"/>
    </row>
    <row r="194" spans="1:35" ht="15" customHeight="1">
      <c r="A194" s="110"/>
      <c r="B194" s="243">
        <v>2.3E-2</v>
      </c>
      <c r="C194" s="243">
        <v>2.2000000000000002E-2</v>
      </c>
      <c r="D194" s="243">
        <v>2.5000000000000001E-2</v>
      </c>
      <c r="E194" s="243">
        <v>2.5000000000000001E-2</v>
      </c>
      <c r="F194" s="243">
        <v>2.5000000000000001E-2</v>
      </c>
      <c r="G194" s="243">
        <v>2.7999999999999997E-2</v>
      </c>
      <c r="H194" s="243">
        <v>2.7000000000000003E-2</v>
      </c>
      <c r="I194" s="243">
        <v>2.2000000000000002E-2</v>
      </c>
      <c r="J194" s="243">
        <v>0.02</v>
      </c>
      <c r="K194" s="243">
        <v>2.2000000000000002E-2</v>
      </c>
      <c r="L194" s="338">
        <v>2.6000000000000002E-2</v>
      </c>
      <c r="M194" s="338">
        <v>2.7999999999999997E-2</v>
      </c>
      <c r="N194" s="338">
        <v>0.02</v>
      </c>
      <c r="AA194" s="156"/>
      <c r="AB194" s="156"/>
      <c r="AC194" s="156"/>
      <c r="AD194" s="156"/>
      <c r="AE194" s="156"/>
      <c r="AF194" s="156"/>
      <c r="AG194" s="156"/>
      <c r="AH194" s="148"/>
      <c r="AI194" s="148"/>
    </row>
    <row r="195" spans="1:35" ht="15" customHeight="1">
      <c r="A195" s="110" t="s">
        <v>352</v>
      </c>
      <c r="B195" s="242"/>
      <c r="C195" s="242"/>
      <c r="D195" s="242"/>
      <c r="E195" s="242"/>
      <c r="F195" s="242"/>
      <c r="G195" s="242"/>
      <c r="H195" s="242"/>
      <c r="I195" s="242"/>
      <c r="J195" s="242"/>
      <c r="K195" s="242"/>
      <c r="L195" s="337"/>
      <c r="M195" s="337"/>
      <c r="N195" s="337"/>
      <c r="AA195" s="155"/>
      <c r="AB195" s="155"/>
      <c r="AC195" s="155"/>
      <c r="AD195" s="155"/>
      <c r="AE195" s="155"/>
      <c r="AF195" s="155"/>
      <c r="AG195" s="155"/>
      <c r="AH195" s="149"/>
      <c r="AI195" s="149"/>
    </row>
    <row r="196" spans="1:35" ht="15" customHeight="1">
      <c r="A196" s="110"/>
      <c r="B196" s="242">
        <v>165640</v>
      </c>
      <c r="C196" s="242">
        <v>166150</v>
      </c>
      <c r="D196" s="242">
        <v>167010</v>
      </c>
      <c r="E196" s="242">
        <v>165550</v>
      </c>
      <c r="F196" s="242">
        <v>167790</v>
      </c>
      <c r="G196" s="242">
        <v>167980</v>
      </c>
      <c r="H196" s="242">
        <v>168630</v>
      </c>
      <c r="I196" s="242">
        <v>168250</v>
      </c>
      <c r="J196" s="242">
        <v>167520</v>
      </c>
      <c r="K196" s="242">
        <v>167570</v>
      </c>
      <c r="L196" s="337">
        <v>168370</v>
      </c>
      <c r="M196" s="337">
        <v>169200</v>
      </c>
      <c r="N196" s="337">
        <v>169320</v>
      </c>
      <c r="AA196" s="155"/>
      <c r="AB196" s="155"/>
      <c r="AC196" s="155"/>
      <c r="AD196" s="155"/>
      <c r="AE196" s="155"/>
      <c r="AF196" s="155"/>
      <c r="AG196" s="155"/>
      <c r="AH196" s="148"/>
      <c r="AI196" s="148"/>
    </row>
    <row r="197" spans="1:35" ht="15" customHeight="1">
      <c r="A197" s="110"/>
      <c r="B197" s="242">
        <v>161520</v>
      </c>
      <c r="C197" s="242">
        <v>162040</v>
      </c>
      <c r="D197" s="242">
        <v>162340</v>
      </c>
      <c r="E197" s="242">
        <v>160850</v>
      </c>
      <c r="F197" s="242">
        <v>162990</v>
      </c>
      <c r="G197" s="242">
        <v>162380</v>
      </c>
      <c r="H197" s="242">
        <v>163230</v>
      </c>
      <c r="I197" s="242">
        <v>163590</v>
      </c>
      <c r="J197" s="242">
        <v>163740</v>
      </c>
      <c r="K197" s="242">
        <v>163160</v>
      </c>
      <c r="L197" s="337">
        <v>162950</v>
      </c>
      <c r="M197" s="337">
        <v>163820</v>
      </c>
      <c r="N197" s="337">
        <v>165570</v>
      </c>
      <c r="AA197" s="155"/>
      <c r="AB197" s="155"/>
      <c r="AC197" s="155"/>
      <c r="AD197" s="155"/>
      <c r="AE197" s="155"/>
      <c r="AF197" s="155"/>
      <c r="AG197" s="155"/>
      <c r="AH197" s="148"/>
      <c r="AI197" s="148"/>
    </row>
    <row r="198" spans="1:35" ht="15" customHeight="1">
      <c r="A198" s="110"/>
      <c r="B198" s="242">
        <v>4120</v>
      </c>
      <c r="C198" s="242">
        <v>4110</v>
      </c>
      <c r="D198" s="242">
        <v>4670</v>
      </c>
      <c r="E198" s="242">
        <v>4700</v>
      </c>
      <c r="F198" s="242">
        <v>4800</v>
      </c>
      <c r="G198" s="242">
        <v>5600</v>
      </c>
      <c r="H198" s="242">
        <v>5400</v>
      </c>
      <c r="I198" s="242">
        <v>4660</v>
      </c>
      <c r="J198" s="242">
        <v>3780</v>
      </c>
      <c r="K198" s="242">
        <v>4410</v>
      </c>
      <c r="L198" s="337">
        <v>5420</v>
      </c>
      <c r="M198" s="337">
        <v>5380</v>
      </c>
      <c r="N198" s="337">
        <v>3750</v>
      </c>
      <c r="AA198" s="155"/>
      <c r="AB198" s="155"/>
      <c r="AC198" s="155"/>
      <c r="AD198" s="155"/>
      <c r="AE198" s="155"/>
      <c r="AF198" s="155"/>
      <c r="AG198" s="155"/>
      <c r="AH198" s="148"/>
      <c r="AI198" s="148"/>
    </row>
    <row r="199" spans="1:35" ht="15" customHeight="1">
      <c r="A199" s="110"/>
      <c r="B199" s="243">
        <v>2.5000000000000001E-2</v>
      </c>
      <c r="C199" s="243">
        <v>2.5000000000000001E-2</v>
      </c>
      <c r="D199" s="243">
        <v>2.7999999999999997E-2</v>
      </c>
      <c r="E199" s="243">
        <v>2.7999999999999997E-2</v>
      </c>
      <c r="F199" s="243">
        <v>2.8999999999999998E-2</v>
      </c>
      <c r="G199" s="243">
        <v>3.3000000000000002E-2</v>
      </c>
      <c r="H199" s="243">
        <v>3.2000000000000001E-2</v>
      </c>
      <c r="I199" s="243">
        <v>2.7999999999999997E-2</v>
      </c>
      <c r="J199" s="243">
        <v>2.3E-2</v>
      </c>
      <c r="K199" s="243">
        <v>2.6000000000000002E-2</v>
      </c>
      <c r="L199" s="338">
        <v>3.2000000000000001E-2</v>
      </c>
      <c r="M199" s="338">
        <v>3.2000000000000001E-2</v>
      </c>
      <c r="N199" s="338">
        <v>2.2000000000000002E-2</v>
      </c>
      <c r="AA199" s="156"/>
      <c r="AB199" s="156"/>
      <c r="AC199" s="156"/>
      <c r="AD199" s="156"/>
      <c r="AE199" s="156"/>
      <c r="AF199" s="156"/>
      <c r="AG199" s="156"/>
      <c r="AH199" s="148"/>
      <c r="AI199" s="148"/>
    </row>
    <row r="200" spans="1:35" ht="15" customHeight="1">
      <c r="A200" s="110" t="s">
        <v>116</v>
      </c>
      <c r="B200" s="242"/>
      <c r="C200" s="242"/>
      <c r="D200" s="242"/>
      <c r="E200" s="242"/>
      <c r="F200" s="242"/>
      <c r="G200" s="242"/>
      <c r="H200" s="242"/>
      <c r="I200" s="242"/>
      <c r="J200" s="242"/>
      <c r="K200" s="242"/>
      <c r="L200" s="337"/>
      <c r="M200" s="337"/>
      <c r="N200" s="337"/>
      <c r="AA200" s="155"/>
      <c r="AB200" s="155"/>
      <c r="AC200" s="155"/>
      <c r="AD200" s="155"/>
      <c r="AE200" s="155"/>
      <c r="AF200" s="155"/>
      <c r="AG200" s="155"/>
      <c r="AH200" s="149"/>
      <c r="AI200" s="149"/>
    </row>
    <row r="201" spans="1:35" ht="15" customHeight="1">
      <c r="A201" s="110"/>
      <c r="B201" s="242">
        <v>174460</v>
      </c>
      <c r="C201" s="242">
        <v>175050</v>
      </c>
      <c r="D201" s="242">
        <v>175930</v>
      </c>
      <c r="E201" s="242">
        <v>174470</v>
      </c>
      <c r="F201" s="242">
        <v>176780</v>
      </c>
      <c r="G201" s="242">
        <v>176900</v>
      </c>
      <c r="H201" s="242">
        <v>177740</v>
      </c>
      <c r="I201" s="242">
        <v>177270</v>
      </c>
      <c r="J201" s="242">
        <v>176570</v>
      </c>
      <c r="K201" s="242">
        <v>176780</v>
      </c>
      <c r="L201" s="337">
        <v>177580</v>
      </c>
      <c r="M201" s="337">
        <v>178420</v>
      </c>
      <c r="N201" s="337">
        <v>178450</v>
      </c>
      <c r="AA201" s="155"/>
      <c r="AB201" s="155"/>
      <c r="AC201" s="155"/>
      <c r="AD201" s="155"/>
      <c r="AE201" s="155"/>
      <c r="AF201" s="155"/>
      <c r="AG201" s="155"/>
      <c r="AH201" s="148"/>
      <c r="AI201" s="148"/>
    </row>
    <row r="202" spans="1:35" ht="15" customHeight="1">
      <c r="A202" s="110"/>
      <c r="B202" s="242">
        <v>170130</v>
      </c>
      <c r="C202" s="242">
        <v>170730</v>
      </c>
      <c r="D202" s="242">
        <v>171060</v>
      </c>
      <c r="E202" s="242">
        <v>169540</v>
      </c>
      <c r="F202" s="242">
        <v>171730</v>
      </c>
      <c r="G202" s="242">
        <v>171040</v>
      </c>
      <c r="H202" s="242">
        <v>172080</v>
      </c>
      <c r="I202" s="242">
        <v>172380</v>
      </c>
      <c r="J202" s="242">
        <v>172500</v>
      </c>
      <c r="K202" s="242">
        <v>172050</v>
      </c>
      <c r="L202" s="337">
        <v>171790</v>
      </c>
      <c r="M202" s="337">
        <v>172660</v>
      </c>
      <c r="N202" s="337">
        <v>174390</v>
      </c>
      <c r="AA202" s="155"/>
      <c r="AB202" s="155"/>
      <c r="AC202" s="155"/>
      <c r="AD202" s="155"/>
      <c r="AE202" s="155"/>
      <c r="AF202" s="155"/>
      <c r="AG202" s="155"/>
      <c r="AH202" s="148"/>
      <c r="AI202" s="148"/>
    </row>
    <row r="203" spans="1:35" ht="15" customHeight="1">
      <c r="A203" s="110"/>
      <c r="B203" s="242">
        <v>4330</v>
      </c>
      <c r="C203" s="242">
        <v>4320</v>
      </c>
      <c r="D203" s="242">
        <v>4870</v>
      </c>
      <c r="E203" s="242">
        <v>4930</v>
      </c>
      <c r="F203" s="242">
        <v>5050</v>
      </c>
      <c r="G203" s="242">
        <v>5860</v>
      </c>
      <c r="H203" s="242">
        <v>5660</v>
      </c>
      <c r="I203" s="242">
        <v>4890</v>
      </c>
      <c r="J203" s="242">
        <v>4070</v>
      </c>
      <c r="K203" s="242">
        <v>4730</v>
      </c>
      <c r="L203" s="337">
        <v>5790</v>
      </c>
      <c r="M203" s="337">
        <v>5760</v>
      </c>
      <c r="N203" s="337">
        <v>4060</v>
      </c>
      <c r="AA203" s="155"/>
      <c r="AB203" s="155"/>
      <c r="AC203" s="155"/>
      <c r="AD203" s="155"/>
      <c r="AE203" s="155"/>
      <c r="AF203" s="155"/>
      <c r="AG203" s="155"/>
      <c r="AH203" s="148"/>
      <c r="AI203" s="148"/>
    </row>
    <row r="204" spans="1:35" ht="15" customHeight="1">
      <c r="A204" s="110"/>
      <c r="B204" s="243">
        <v>2.5000000000000001E-2</v>
      </c>
      <c r="C204" s="243">
        <v>2.5000000000000001E-2</v>
      </c>
      <c r="D204" s="243">
        <v>2.7999999999999997E-2</v>
      </c>
      <c r="E204" s="243">
        <v>2.7999999999999997E-2</v>
      </c>
      <c r="F204" s="243">
        <v>2.8999999999999998E-2</v>
      </c>
      <c r="G204" s="243">
        <v>3.3000000000000002E-2</v>
      </c>
      <c r="H204" s="243">
        <v>3.2000000000000001E-2</v>
      </c>
      <c r="I204" s="243">
        <v>2.7999999999999997E-2</v>
      </c>
      <c r="J204" s="243">
        <v>2.3E-2</v>
      </c>
      <c r="K204" s="243">
        <v>2.7000000000000003E-2</v>
      </c>
      <c r="L204" s="338">
        <v>3.3000000000000002E-2</v>
      </c>
      <c r="M204" s="338">
        <v>3.2000000000000001E-2</v>
      </c>
      <c r="N204" s="338">
        <v>2.3E-2</v>
      </c>
      <c r="AA204" s="156"/>
      <c r="AB204" s="156"/>
      <c r="AC204" s="156"/>
      <c r="AD204" s="156"/>
      <c r="AE204" s="156"/>
      <c r="AF204" s="156"/>
      <c r="AG204" s="156"/>
      <c r="AH204" s="148"/>
      <c r="AI204" s="148"/>
    </row>
    <row r="205" spans="1:35" ht="15" customHeight="1">
      <c r="A205" s="110" t="s">
        <v>110</v>
      </c>
      <c r="B205" s="242"/>
      <c r="C205" s="242"/>
      <c r="D205" s="242"/>
      <c r="E205" s="242"/>
      <c r="F205" s="242"/>
      <c r="G205" s="242"/>
      <c r="H205" s="242"/>
      <c r="I205" s="242"/>
      <c r="J205" s="242"/>
      <c r="K205" s="242"/>
      <c r="L205" s="337"/>
      <c r="M205" s="337"/>
      <c r="N205" s="337"/>
      <c r="AA205" s="155"/>
      <c r="AB205" s="155"/>
      <c r="AC205" s="155"/>
      <c r="AD205" s="155"/>
      <c r="AE205" s="155"/>
      <c r="AF205" s="155"/>
      <c r="AG205" s="155"/>
      <c r="AH205" s="149"/>
      <c r="AI205" s="149"/>
    </row>
    <row r="206" spans="1:35" ht="15" customHeight="1">
      <c r="A206" s="110"/>
      <c r="B206" s="242">
        <v>8250</v>
      </c>
      <c r="C206" s="242">
        <v>8270</v>
      </c>
      <c r="D206" s="242">
        <v>8310</v>
      </c>
      <c r="E206" s="242">
        <v>8510</v>
      </c>
      <c r="F206" s="242">
        <v>8510</v>
      </c>
      <c r="G206" s="242">
        <v>8380</v>
      </c>
      <c r="H206" s="242">
        <v>8600</v>
      </c>
      <c r="I206" s="242">
        <v>8340</v>
      </c>
      <c r="J206" s="242">
        <v>8280</v>
      </c>
      <c r="K206" s="242">
        <v>8680</v>
      </c>
      <c r="L206" s="337">
        <v>8640</v>
      </c>
      <c r="M206" s="337">
        <v>8690</v>
      </c>
      <c r="N206" s="337">
        <v>8360</v>
      </c>
      <c r="AA206" s="155"/>
      <c r="AB206" s="155"/>
      <c r="AC206" s="155"/>
      <c r="AD206" s="155"/>
      <c r="AE206" s="155"/>
      <c r="AF206" s="155"/>
      <c r="AG206" s="155"/>
      <c r="AH206" s="148"/>
      <c r="AI206" s="148"/>
    </row>
    <row r="207" spans="1:35" ht="15" customHeight="1">
      <c r="A207" s="110"/>
      <c r="B207" s="242">
        <v>8040</v>
      </c>
      <c r="C207" s="242">
        <v>8080</v>
      </c>
      <c r="D207" s="242">
        <v>8120</v>
      </c>
      <c r="E207" s="242">
        <v>8310</v>
      </c>
      <c r="F207" s="242">
        <v>8330</v>
      </c>
      <c r="G207" s="242">
        <v>8170</v>
      </c>
      <c r="H207" s="242">
        <v>8400</v>
      </c>
      <c r="I207" s="242">
        <v>8160</v>
      </c>
      <c r="J207" s="242">
        <v>8140</v>
      </c>
      <c r="K207" s="242">
        <v>8480</v>
      </c>
      <c r="L207" s="337">
        <v>8400</v>
      </c>
      <c r="M207" s="337">
        <v>8440</v>
      </c>
      <c r="N207" s="337">
        <v>8190</v>
      </c>
      <c r="AA207" s="155"/>
      <c r="AB207" s="155"/>
      <c r="AC207" s="155"/>
      <c r="AD207" s="155"/>
      <c r="AE207" s="155"/>
      <c r="AF207" s="155"/>
      <c r="AG207" s="155"/>
      <c r="AH207" s="148"/>
      <c r="AI207" s="148"/>
    </row>
    <row r="208" spans="1:35" ht="15" customHeight="1">
      <c r="A208" s="110"/>
      <c r="B208" s="242">
        <v>210</v>
      </c>
      <c r="C208" s="242">
        <v>190</v>
      </c>
      <c r="D208" s="242">
        <v>190</v>
      </c>
      <c r="E208" s="242">
        <v>200</v>
      </c>
      <c r="F208" s="242">
        <v>180</v>
      </c>
      <c r="G208" s="242">
        <v>210</v>
      </c>
      <c r="H208" s="242">
        <v>200</v>
      </c>
      <c r="I208" s="242">
        <v>180</v>
      </c>
      <c r="J208" s="242">
        <v>140</v>
      </c>
      <c r="K208" s="242">
        <v>200</v>
      </c>
      <c r="L208" s="337">
        <v>240</v>
      </c>
      <c r="M208" s="337">
        <v>250</v>
      </c>
      <c r="N208" s="337">
        <v>170</v>
      </c>
      <c r="AA208" s="155"/>
      <c r="AB208" s="155"/>
      <c r="AC208" s="155"/>
      <c r="AD208" s="155"/>
      <c r="AE208" s="155"/>
      <c r="AF208" s="155"/>
      <c r="AG208" s="155"/>
      <c r="AH208" s="148"/>
      <c r="AI208" s="148"/>
    </row>
    <row r="209" spans="1:35" ht="15" customHeight="1">
      <c r="A209" s="110"/>
      <c r="B209" s="243">
        <v>2.6000000000000002E-2</v>
      </c>
      <c r="C209" s="243">
        <v>2.3E-2</v>
      </c>
      <c r="D209" s="243">
        <v>2.3E-2</v>
      </c>
      <c r="E209" s="243">
        <v>2.3E-2</v>
      </c>
      <c r="F209" s="243">
        <v>2.1000000000000001E-2</v>
      </c>
      <c r="G209" s="243">
        <v>2.5000000000000001E-2</v>
      </c>
      <c r="H209" s="243">
        <v>2.3E-2</v>
      </c>
      <c r="I209" s="243">
        <v>2.1000000000000001E-2</v>
      </c>
      <c r="J209" s="243">
        <v>1.7000000000000001E-2</v>
      </c>
      <c r="K209" s="243">
        <v>2.3E-2</v>
      </c>
      <c r="L209" s="338">
        <v>2.7999999999999997E-2</v>
      </c>
      <c r="M209" s="338">
        <v>2.8999999999999998E-2</v>
      </c>
      <c r="N209" s="338">
        <v>0.02</v>
      </c>
      <c r="AA209" s="156"/>
      <c r="AB209" s="156"/>
      <c r="AC209" s="156"/>
      <c r="AD209" s="156"/>
      <c r="AE209" s="156"/>
      <c r="AF209" s="156"/>
      <c r="AG209" s="156"/>
      <c r="AH209" s="148"/>
      <c r="AI209" s="148"/>
    </row>
    <row r="210" spans="1:35" ht="15" customHeight="1">
      <c r="A210" s="110" t="s">
        <v>550</v>
      </c>
      <c r="B210" s="242"/>
      <c r="C210" s="242"/>
      <c r="D210" s="242"/>
      <c r="E210" s="242"/>
      <c r="F210" s="242"/>
      <c r="G210" s="242"/>
      <c r="H210" s="242"/>
      <c r="I210" s="242"/>
      <c r="J210" s="242"/>
      <c r="K210" s="242"/>
      <c r="L210" s="337"/>
      <c r="M210" s="337"/>
      <c r="N210" s="337"/>
      <c r="AA210" s="156"/>
      <c r="AB210" s="156"/>
      <c r="AC210" s="156"/>
      <c r="AD210" s="156"/>
      <c r="AE210" s="156"/>
      <c r="AF210" s="156"/>
      <c r="AG210" s="156"/>
      <c r="AH210" s="148"/>
      <c r="AI210" s="148"/>
    </row>
    <row r="211" spans="1:35" ht="15" customHeight="1">
      <c r="A211" s="110"/>
      <c r="B211" s="242">
        <v>6390</v>
      </c>
      <c r="C211" s="242">
        <v>6370</v>
      </c>
      <c r="D211" s="242">
        <v>6390</v>
      </c>
      <c r="E211" s="242">
        <v>6360</v>
      </c>
      <c r="F211" s="242">
        <v>6380</v>
      </c>
      <c r="G211" s="242">
        <v>6290</v>
      </c>
      <c r="H211" s="242">
        <v>6450</v>
      </c>
      <c r="I211" s="242">
        <v>6430</v>
      </c>
      <c r="J211" s="242">
        <v>6440</v>
      </c>
      <c r="K211" s="242">
        <v>6540</v>
      </c>
      <c r="L211" s="337">
        <v>6460</v>
      </c>
      <c r="M211" s="337">
        <v>6580</v>
      </c>
      <c r="N211" s="337">
        <v>6490</v>
      </c>
      <c r="AA211" s="156"/>
      <c r="AB211" s="156"/>
      <c r="AC211" s="156"/>
      <c r="AD211" s="156"/>
      <c r="AE211" s="156"/>
      <c r="AF211" s="156"/>
      <c r="AG211" s="156"/>
      <c r="AH211" s="148"/>
      <c r="AI211" s="148"/>
    </row>
    <row r="212" spans="1:35" ht="15" customHeight="1">
      <c r="A212" s="110"/>
      <c r="B212" s="242">
        <v>6250</v>
      </c>
      <c r="C212" s="242">
        <v>6240</v>
      </c>
      <c r="D212" s="242">
        <v>6250</v>
      </c>
      <c r="E212" s="242">
        <v>6220</v>
      </c>
      <c r="F212" s="242">
        <v>6250</v>
      </c>
      <c r="G212" s="242">
        <v>6140</v>
      </c>
      <c r="H212" s="242">
        <v>6310</v>
      </c>
      <c r="I212" s="242">
        <v>6310</v>
      </c>
      <c r="J212" s="242">
        <v>6340</v>
      </c>
      <c r="K212" s="242">
        <v>6400</v>
      </c>
      <c r="L212" s="337">
        <v>6300</v>
      </c>
      <c r="M212" s="337">
        <v>6400</v>
      </c>
      <c r="N212" s="337">
        <v>6370</v>
      </c>
      <c r="AA212" s="156"/>
      <c r="AB212" s="156"/>
      <c r="AC212" s="156"/>
      <c r="AD212" s="156"/>
      <c r="AE212" s="156"/>
      <c r="AF212" s="156"/>
      <c r="AG212" s="156"/>
      <c r="AH212" s="148"/>
      <c r="AI212" s="148"/>
    </row>
    <row r="213" spans="1:35" ht="15" customHeight="1">
      <c r="A213" s="110"/>
      <c r="B213" s="242">
        <v>140</v>
      </c>
      <c r="C213" s="242">
        <v>130</v>
      </c>
      <c r="D213" s="242">
        <v>140</v>
      </c>
      <c r="E213" s="242">
        <v>140</v>
      </c>
      <c r="F213" s="242">
        <v>130</v>
      </c>
      <c r="G213" s="242">
        <v>150</v>
      </c>
      <c r="H213" s="242">
        <v>140</v>
      </c>
      <c r="I213" s="242">
        <v>120</v>
      </c>
      <c r="J213" s="242">
        <v>100</v>
      </c>
      <c r="K213" s="242">
        <v>140</v>
      </c>
      <c r="L213" s="337">
        <v>160</v>
      </c>
      <c r="M213" s="337">
        <v>180</v>
      </c>
      <c r="N213" s="337">
        <v>120</v>
      </c>
      <c r="AA213" s="156"/>
      <c r="AB213" s="156"/>
      <c r="AC213" s="156"/>
      <c r="AD213" s="156"/>
      <c r="AE213" s="156"/>
      <c r="AF213" s="156"/>
      <c r="AG213" s="156"/>
      <c r="AH213" s="148"/>
      <c r="AI213" s="148"/>
    </row>
    <row r="214" spans="1:35" ht="15" customHeight="1">
      <c r="A214" s="110"/>
      <c r="B214" s="243">
        <v>2.1000000000000001E-2</v>
      </c>
      <c r="C214" s="243">
        <v>2.1000000000000001E-2</v>
      </c>
      <c r="D214" s="243">
        <v>2.1000000000000001E-2</v>
      </c>
      <c r="E214" s="243">
        <v>2.2000000000000002E-2</v>
      </c>
      <c r="F214" s="243">
        <v>2.1000000000000001E-2</v>
      </c>
      <c r="G214" s="243">
        <v>2.3E-2</v>
      </c>
      <c r="H214" s="243">
        <v>2.2000000000000002E-2</v>
      </c>
      <c r="I214" s="243">
        <v>1.9E-2</v>
      </c>
      <c r="J214" s="243">
        <v>1.6E-2</v>
      </c>
      <c r="K214" s="243">
        <v>2.1000000000000001E-2</v>
      </c>
      <c r="L214" s="338">
        <v>2.5000000000000001E-2</v>
      </c>
      <c r="M214" s="338">
        <v>2.7000000000000003E-2</v>
      </c>
      <c r="N214" s="338">
        <v>1.9E-2</v>
      </c>
      <c r="AA214" s="156"/>
      <c r="AB214" s="156"/>
      <c r="AC214" s="156"/>
      <c r="AD214" s="156"/>
      <c r="AE214" s="156"/>
      <c r="AF214" s="156"/>
      <c r="AG214" s="156"/>
      <c r="AH214" s="148"/>
      <c r="AI214" s="148"/>
    </row>
    <row r="215" spans="1:35" ht="15" customHeight="1">
      <c r="A215" s="171" t="s">
        <v>397</v>
      </c>
      <c r="B215" s="242"/>
      <c r="C215" s="242"/>
      <c r="D215" s="242"/>
      <c r="E215" s="242"/>
      <c r="F215" s="242"/>
      <c r="G215" s="242"/>
      <c r="H215" s="242"/>
      <c r="I215" s="242"/>
      <c r="J215" s="242"/>
      <c r="K215" s="242"/>
      <c r="L215" s="338"/>
      <c r="M215" s="338"/>
      <c r="N215" s="338"/>
      <c r="AA215" s="155"/>
      <c r="AB215" s="155"/>
      <c r="AC215" s="155"/>
      <c r="AD215" s="155"/>
      <c r="AE215" s="155"/>
      <c r="AF215" s="155"/>
      <c r="AG215" s="155"/>
      <c r="AH215" s="149"/>
      <c r="AI215" s="149"/>
    </row>
    <row r="216" spans="1:35" ht="15" customHeight="1">
      <c r="A216" s="110"/>
      <c r="B216" s="242">
        <v>8140</v>
      </c>
      <c r="C216" s="242">
        <v>8200</v>
      </c>
      <c r="D216" s="242">
        <v>8250</v>
      </c>
      <c r="E216" s="242">
        <v>8170</v>
      </c>
      <c r="F216" s="242">
        <v>8280</v>
      </c>
      <c r="G216" s="242">
        <v>8300</v>
      </c>
      <c r="H216" s="242">
        <v>8340</v>
      </c>
      <c r="I216" s="242">
        <v>8310</v>
      </c>
      <c r="J216" s="242">
        <v>8250</v>
      </c>
      <c r="K216" s="242">
        <v>8280</v>
      </c>
      <c r="L216" s="337">
        <v>8320</v>
      </c>
      <c r="M216" s="337">
        <v>8340</v>
      </c>
      <c r="N216" s="337">
        <v>8280</v>
      </c>
      <c r="AA216" s="155"/>
      <c r="AB216" s="155"/>
      <c r="AC216" s="155"/>
      <c r="AD216" s="155"/>
      <c r="AE216" s="155"/>
      <c r="AF216" s="155"/>
      <c r="AG216" s="155"/>
      <c r="AH216" s="148"/>
      <c r="AI216" s="148"/>
    </row>
    <row r="217" spans="1:35" ht="15" customHeight="1">
      <c r="A217" s="110"/>
      <c r="B217" s="242">
        <v>7890</v>
      </c>
      <c r="C217" s="242">
        <v>7940</v>
      </c>
      <c r="D217" s="242">
        <v>7960</v>
      </c>
      <c r="E217" s="242">
        <v>7880</v>
      </c>
      <c r="F217" s="242">
        <v>7950</v>
      </c>
      <c r="G217" s="242">
        <v>7920</v>
      </c>
      <c r="H217" s="242">
        <v>7980</v>
      </c>
      <c r="I217" s="242">
        <v>8010</v>
      </c>
      <c r="J217" s="242">
        <v>8010</v>
      </c>
      <c r="K217" s="242">
        <v>8030</v>
      </c>
      <c r="L217" s="337">
        <v>8010</v>
      </c>
      <c r="M217" s="337">
        <v>8030</v>
      </c>
      <c r="N217" s="337">
        <v>8060</v>
      </c>
      <c r="AA217" s="155"/>
      <c r="AB217" s="155"/>
      <c r="AC217" s="155"/>
      <c r="AD217" s="155"/>
      <c r="AE217" s="155"/>
      <c r="AF217" s="155"/>
      <c r="AG217" s="155"/>
      <c r="AH217" s="148"/>
      <c r="AI217" s="148"/>
    </row>
    <row r="218" spans="1:35" ht="15" customHeight="1">
      <c r="A218" s="110"/>
      <c r="B218" s="242">
        <v>250</v>
      </c>
      <c r="C218" s="242">
        <v>260</v>
      </c>
      <c r="D218" s="242">
        <v>290</v>
      </c>
      <c r="E218" s="242">
        <v>290</v>
      </c>
      <c r="F218" s="242">
        <v>330</v>
      </c>
      <c r="G218" s="242">
        <v>380</v>
      </c>
      <c r="H218" s="242">
        <v>360</v>
      </c>
      <c r="I218" s="242">
        <v>300</v>
      </c>
      <c r="J218" s="242">
        <v>240</v>
      </c>
      <c r="K218" s="242">
        <v>250</v>
      </c>
      <c r="L218" s="337">
        <v>310</v>
      </c>
      <c r="M218" s="337">
        <v>310</v>
      </c>
      <c r="N218" s="337">
        <v>220</v>
      </c>
      <c r="AA218" s="155"/>
      <c r="AB218" s="155"/>
      <c r="AC218" s="155"/>
      <c r="AD218" s="155"/>
      <c r="AE218" s="155"/>
      <c r="AF218" s="155"/>
      <c r="AG218" s="155"/>
      <c r="AH218" s="148"/>
      <c r="AI218" s="148"/>
    </row>
    <row r="219" spans="1:35" ht="15" customHeight="1">
      <c r="A219" s="110"/>
      <c r="B219" s="243">
        <v>3.1E-2</v>
      </c>
      <c r="C219" s="243">
        <v>3.1E-2</v>
      </c>
      <c r="D219" s="243">
        <v>3.5000000000000003E-2</v>
      </c>
      <c r="E219" s="243">
        <v>3.5000000000000003E-2</v>
      </c>
      <c r="F219" s="243">
        <v>0.04</v>
      </c>
      <c r="G219" s="243">
        <v>4.5999999999999999E-2</v>
      </c>
      <c r="H219" s="243">
        <v>4.2999999999999997E-2</v>
      </c>
      <c r="I219" s="243">
        <v>3.6000000000000004E-2</v>
      </c>
      <c r="J219" s="243">
        <v>2.8999999999999998E-2</v>
      </c>
      <c r="K219" s="243">
        <v>3.1E-2</v>
      </c>
      <c r="L219" s="338">
        <v>3.7999999999999999E-2</v>
      </c>
      <c r="M219" s="338">
        <v>3.7000000000000005E-2</v>
      </c>
      <c r="N219" s="338">
        <v>2.6000000000000002E-2</v>
      </c>
      <c r="AA219" s="156"/>
      <c r="AB219" s="156"/>
      <c r="AC219" s="156"/>
      <c r="AD219" s="156"/>
      <c r="AE219" s="156"/>
      <c r="AF219" s="156"/>
      <c r="AG219" s="156"/>
      <c r="AH219" s="148"/>
      <c r="AI219" s="148"/>
    </row>
    <row r="220" spans="1:35" ht="15" customHeight="1">
      <c r="A220" s="110" t="s">
        <v>111</v>
      </c>
      <c r="B220" s="242"/>
      <c r="C220" s="242"/>
      <c r="D220" s="242"/>
      <c r="E220" s="242"/>
      <c r="F220" s="242"/>
      <c r="G220" s="242"/>
      <c r="H220" s="242"/>
      <c r="I220" s="242"/>
      <c r="J220" s="242"/>
      <c r="K220" s="242"/>
      <c r="L220" s="337"/>
      <c r="M220" s="337"/>
      <c r="N220" s="337"/>
      <c r="AA220" s="155"/>
      <c r="AB220" s="155"/>
      <c r="AC220" s="155"/>
      <c r="AD220" s="155"/>
      <c r="AE220" s="155"/>
      <c r="AF220" s="155"/>
      <c r="AG220" s="155"/>
      <c r="AH220" s="149"/>
      <c r="AI220" s="149"/>
    </row>
    <row r="221" spans="1:35" ht="15" customHeight="1">
      <c r="A221" s="110"/>
      <c r="B221" s="242">
        <v>19360</v>
      </c>
      <c r="C221" s="242">
        <v>19470</v>
      </c>
      <c r="D221" s="242">
        <v>19610</v>
      </c>
      <c r="E221" s="242">
        <v>19620</v>
      </c>
      <c r="F221" s="242">
        <v>19670</v>
      </c>
      <c r="G221" s="242">
        <v>19340</v>
      </c>
      <c r="H221" s="242">
        <v>20000</v>
      </c>
      <c r="I221" s="242">
        <v>20090</v>
      </c>
      <c r="J221" s="242">
        <v>20090</v>
      </c>
      <c r="K221" s="242">
        <v>20420</v>
      </c>
      <c r="L221" s="337">
        <v>20230</v>
      </c>
      <c r="M221" s="337">
        <v>20310</v>
      </c>
      <c r="N221" s="337">
        <v>20020</v>
      </c>
      <c r="AA221" s="155"/>
      <c r="AB221" s="155"/>
      <c r="AC221" s="155"/>
      <c r="AD221" s="155"/>
      <c r="AE221" s="155"/>
      <c r="AF221" s="155"/>
      <c r="AG221" s="155"/>
      <c r="AH221" s="148"/>
      <c r="AI221" s="148"/>
    </row>
    <row r="222" spans="1:35" ht="15" customHeight="1">
      <c r="A222" s="110"/>
      <c r="B222" s="242">
        <v>18880</v>
      </c>
      <c r="C222" s="242">
        <v>18990</v>
      </c>
      <c r="D222" s="242">
        <v>19080</v>
      </c>
      <c r="E222" s="242">
        <v>19090</v>
      </c>
      <c r="F222" s="242">
        <v>19140</v>
      </c>
      <c r="G222" s="242">
        <v>18760</v>
      </c>
      <c r="H222" s="242">
        <v>19450</v>
      </c>
      <c r="I222" s="242">
        <v>19630</v>
      </c>
      <c r="J222" s="242">
        <v>19710</v>
      </c>
      <c r="K222" s="242">
        <v>19940</v>
      </c>
      <c r="L222" s="337">
        <v>19640</v>
      </c>
      <c r="M222" s="337">
        <v>19700</v>
      </c>
      <c r="N222" s="337">
        <v>19630</v>
      </c>
      <c r="AA222" s="155"/>
      <c r="AB222" s="155"/>
      <c r="AC222" s="155"/>
      <c r="AD222" s="155"/>
      <c r="AE222" s="155"/>
      <c r="AF222" s="155"/>
      <c r="AG222" s="155"/>
      <c r="AH222" s="148"/>
      <c r="AI222" s="148"/>
    </row>
    <row r="223" spans="1:35" ht="15" customHeight="1">
      <c r="A223" s="110"/>
      <c r="B223" s="242">
        <v>480</v>
      </c>
      <c r="C223" s="242">
        <v>480</v>
      </c>
      <c r="D223" s="242">
        <v>530</v>
      </c>
      <c r="E223" s="242">
        <v>530</v>
      </c>
      <c r="F223" s="242">
        <v>530</v>
      </c>
      <c r="G223" s="242">
        <v>580</v>
      </c>
      <c r="H223" s="242">
        <v>550</v>
      </c>
      <c r="I223" s="242">
        <v>460</v>
      </c>
      <c r="J223" s="242">
        <v>380</v>
      </c>
      <c r="K223" s="242">
        <v>480</v>
      </c>
      <c r="L223" s="337">
        <v>590</v>
      </c>
      <c r="M223" s="337">
        <v>610</v>
      </c>
      <c r="N223" s="337">
        <v>390</v>
      </c>
      <c r="AA223" s="155"/>
      <c r="AB223" s="155"/>
      <c r="AC223" s="155"/>
      <c r="AD223" s="155"/>
      <c r="AE223" s="155"/>
      <c r="AF223" s="155"/>
      <c r="AG223" s="155"/>
      <c r="AH223" s="148"/>
      <c r="AI223" s="148"/>
    </row>
    <row r="224" spans="1:35" ht="15" customHeight="1">
      <c r="A224" s="110"/>
      <c r="B224" s="243">
        <v>2.5000000000000001E-2</v>
      </c>
      <c r="C224" s="243">
        <v>2.4E-2</v>
      </c>
      <c r="D224" s="243">
        <v>2.7000000000000003E-2</v>
      </c>
      <c r="E224" s="243">
        <v>2.7000000000000003E-2</v>
      </c>
      <c r="F224" s="243">
        <v>2.7000000000000003E-2</v>
      </c>
      <c r="G224" s="243">
        <v>0.03</v>
      </c>
      <c r="H224" s="243">
        <v>2.7000000000000003E-2</v>
      </c>
      <c r="I224" s="243">
        <v>2.3E-2</v>
      </c>
      <c r="J224" s="243">
        <v>1.9E-2</v>
      </c>
      <c r="K224" s="243">
        <v>2.3E-2</v>
      </c>
      <c r="L224" s="338">
        <v>2.8999999999999998E-2</v>
      </c>
      <c r="M224" s="338">
        <v>0.03</v>
      </c>
      <c r="N224" s="338">
        <v>1.9E-2</v>
      </c>
      <c r="AA224" s="156"/>
      <c r="AB224" s="156"/>
      <c r="AC224" s="156"/>
      <c r="AD224" s="156"/>
      <c r="AE224" s="156"/>
      <c r="AF224" s="156"/>
      <c r="AG224" s="156"/>
      <c r="AH224" s="148"/>
      <c r="AI224" s="148"/>
    </row>
    <row r="225" spans="1:35" ht="15" customHeight="1">
      <c r="A225" s="110" t="s">
        <v>112</v>
      </c>
      <c r="B225" s="242"/>
      <c r="C225" s="242"/>
      <c r="D225" s="242"/>
      <c r="E225" s="242"/>
      <c r="F225" s="242"/>
      <c r="G225" s="242"/>
      <c r="H225" s="242"/>
      <c r="I225" s="242"/>
      <c r="J225" s="242"/>
      <c r="K225" s="242"/>
      <c r="L225" s="337"/>
      <c r="M225" s="337"/>
      <c r="N225" s="337"/>
      <c r="AA225" s="155"/>
      <c r="AB225" s="155"/>
      <c r="AC225" s="155"/>
      <c r="AD225" s="155"/>
      <c r="AE225" s="155"/>
      <c r="AF225" s="155"/>
      <c r="AG225" s="155"/>
      <c r="AH225" s="149"/>
      <c r="AI225" s="149"/>
    </row>
    <row r="226" spans="1:35" ht="15" customHeight="1">
      <c r="A226" s="110"/>
      <c r="B226" s="242">
        <v>17800</v>
      </c>
      <c r="C226" s="242">
        <v>17490</v>
      </c>
      <c r="D226" s="242">
        <v>17270</v>
      </c>
      <c r="E226" s="242">
        <v>17650</v>
      </c>
      <c r="F226" s="242">
        <v>17600</v>
      </c>
      <c r="G226" s="242">
        <v>17440</v>
      </c>
      <c r="H226" s="242">
        <v>18260</v>
      </c>
      <c r="I226" s="242">
        <v>17450</v>
      </c>
      <c r="J226" s="242">
        <v>17430</v>
      </c>
      <c r="K226" s="242">
        <v>18240</v>
      </c>
      <c r="L226" s="337">
        <v>18250</v>
      </c>
      <c r="M226" s="337">
        <v>18370</v>
      </c>
      <c r="N226" s="337">
        <v>17790</v>
      </c>
      <c r="AA226" s="155"/>
      <c r="AB226" s="155"/>
      <c r="AC226" s="155"/>
      <c r="AD226" s="155"/>
      <c r="AE226" s="155"/>
      <c r="AF226" s="155"/>
      <c r="AG226" s="155"/>
      <c r="AH226" s="148"/>
      <c r="AI226" s="148"/>
    </row>
    <row r="227" spans="1:35" ht="15" customHeight="1">
      <c r="A227" s="110"/>
      <c r="B227" s="242">
        <v>17380</v>
      </c>
      <c r="C227" s="242">
        <v>17120</v>
      </c>
      <c r="D227" s="242">
        <v>16900</v>
      </c>
      <c r="E227" s="242">
        <v>17270</v>
      </c>
      <c r="F227" s="242">
        <v>17230</v>
      </c>
      <c r="G227" s="242">
        <v>17060</v>
      </c>
      <c r="H227" s="242">
        <v>17870</v>
      </c>
      <c r="I227" s="242">
        <v>17100</v>
      </c>
      <c r="J227" s="242">
        <v>17140</v>
      </c>
      <c r="K227" s="242">
        <v>17850</v>
      </c>
      <c r="L227" s="337">
        <v>17760</v>
      </c>
      <c r="M227" s="337">
        <v>17880</v>
      </c>
      <c r="N227" s="337">
        <v>17460</v>
      </c>
      <c r="AA227" s="155"/>
      <c r="AB227" s="155"/>
      <c r="AC227" s="155"/>
      <c r="AD227" s="155"/>
      <c r="AE227" s="155"/>
      <c r="AF227" s="155"/>
      <c r="AG227" s="155"/>
      <c r="AH227" s="148"/>
      <c r="AI227" s="148"/>
    </row>
    <row r="228" spans="1:35" ht="15" customHeight="1">
      <c r="A228" s="110"/>
      <c r="B228" s="242">
        <v>420</v>
      </c>
      <c r="C228" s="242">
        <v>370</v>
      </c>
      <c r="D228" s="242">
        <v>370</v>
      </c>
      <c r="E228" s="242">
        <v>380</v>
      </c>
      <c r="F228" s="242">
        <v>370</v>
      </c>
      <c r="G228" s="242">
        <v>380</v>
      </c>
      <c r="H228" s="242">
        <v>390</v>
      </c>
      <c r="I228" s="242">
        <v>350</v>
      </c>
      <c r="J228" s="242">
        <v>290</v>
      </c>
      <c r="K228" s="242">
        <v>390</v>
      </c>
      <c r="L228" s="337">
        <v>490</v>
      </c>
      <c r="M228" s="337">
        <v>490</v>
      </c>
      <c r="N228" s="337">
        <v>330</v>
      </c>
      <c r="AA228" s="155"/>
      <c r="AB228" s="155"/>
      <c r="AC228" s="155"/>
      <c r="AD228" s="155"/>
      <c r="AE228" s="155"/>
      <c r="AF228" s="155"/>
      <c r="AG228" s="155"/>
      <c r="AH228" s="148"/>
      <c r="AI228" s="148"/>
    </row>
    <row r="229" spans="1:35" ht="15" customHeight="1">
      <c r="A229" s="110"/>
      <c r="B229" s="243">
        <v>2.3E-2</v>
      </c>
      <c r="C229" s="243">
        <v>2.1000000000000001E-2</v>
      </c>
      <c r="D229" s="243">
        <v>2.1000000000000001E-2</v>
      </c>
      <c r="E229" s="243">
        <v>2.1000000000000001E-2</v>
      </c>
      <c r="F229" s="243">
        <v>2.1000000000000001E-2</v>
      </c>
      <c r="G229" s="243">
        <v>2.2000000000000002E-2</v>
      </c>
      <c r="H229" s="243">
        <v>2.2000000000000002E-2</v>
      </c>
      <c r="I229" s="243">
        <v>0.02</v>
      </c>
      <c r="J229" s="243">
        <v>1.7000000000000001E-2</v>
      </c>
      <c r="K229" s="243">
        <v>2.1000000000000001E-2</v>
      </c>
      <c r="L229" s="338">
        <v>2.7000000000000003E-2</v>
      </c>
      <c r="M229" s="338">
        <v>2.7000000000000003E-2</v>
      </c>
      <c r="N229" s="338">
        <v>1.9E-2</v>
      </c>
      <c r="AA229" s="156"/>
      <c r="AB229" s="156"/>
      <c r="AC229" s="156"/>
      <c r="AD229" s="156"/>
      <c r="AE229" s="156"/>
      <c r="AF229" s="156"/>
      <c r="AG229" s="156"/>
      <c r="AH229" s="148"/>
      <c r="AI229" s="148"/>
    </row>
    <row r="230" spans="1:35" ht="15" customHeight="1">
      <c r="A230" s="110" t="s">
        <v>353</v>
      </c>
      <c r="B230" s="242"/>
      <c r="C230" s="242"/>
      <c r="D230" s="242"/>
      <c r="E230" s="242"/>
      <c r="F230" s="242"/>
      <c r="G230" s="242"/>
      <c r="H230" s="242"/>
      <c r="I230" s="242"/>
      <c r="J230" s="242"/>
      <c r="K230" s="242"/>
      <c r="L230" s="337"/>
      <c r="M230" s="337"/>
      <c r="N230" s="337"/>
      <c r="AA230" s="155"/>
      <c r="AB230" s="155"/>
      <c r="AC230" s="155"/>
      <c r="AD230" s="155"/>
      <c r="AE230" s="155"/>
      <c r="AF230" s="155"/>
      <c r="AG230" s="155"/>
      <c r="AH230" s="149"/>
      <c r="AI230" s="149"/>
    </row>
    <row r="231" spans="1:35" ht="15" customHeight="1">
      <c r="A231" s="110"/>
      <c r="B231" s="242">
        <v>60690</v>
      </c>
      <c r="C231" s="242">
        <v>60760</v>
      </c>
      <c r="D231" s="242">
        <v>60820</v>
      </c>
      <c r="E231" s="242">
        <v>60300</v>
      </c>
      <c r="F231" s="242">
        <v>60880</v>
      </c>
      <c r="G231" s="242">
        <v>60720</v>
      </c>
      <c r="H231" s="242">
        <v>61100</v>
      </c>
      <c r="I231" s="242">
        <v>61090</v>
      </c>
      <c r="J231" s="242">
        <v>61370</v>
      </c>
      <c r="K231" s="242">
        <v>62130</v>
      </c>
      <c r="L231" s="337">
        <v>62400</v>
      </c>
      <c r="M231" s="337">
        <v>63090</v>
      </c>
      <c r="N231" s="337">
        <v>62260</v>
      </c>
      <c r="AA231" s="155"/>
      <c r="AB231" s="155"/>
      <c r="AC231" s="155"/>
      <c r="AD231" s="155"/>
      <c r="AE231" s="155"/>
      <c r="AF231" s="155"/>
      <c r="AG231" s="155"/>
    </row>
    <row r="232" spans="1:35" ht="15" customHeight="1">
      <c r="A232" s="110"/>
      <c r="B232" s="242">
        <v>59400</v>
      </c>
      <c r="C232" s="242">
        <v>59490</v>
      </c>
      <c r="D232" s="242">
        <v>59390</v>
      </c>
      <c r="E232" s="242">
        <v>58850</v>
      </c>
      <c r="F232" s="242">
        <v>59450</v>
      </c>
      <c r="G232" s="242">
        <v>59100</v>
      </c>
      <c r="H232" s="242">
        <v>59540</v>
      </c>
      <c r="I232" s="242">
        <v>59800</v>
      </c>
      <c r="J232" s="242">
        <v>60280</v>
      </c>
      <c r="K232" s="242">
        <v>60830</v>
      </c>
      <c r="L232" s="337">
        <v>60850</v>
      </c>
      <c r="M232" s="337">
        <v>61450</v>
      </c>
      <c r="N232" s="337">
        <v>61120</v>
      </c>
      <c r="AA232" s="155"/>
      <c r="AB232" s="155"/>
      <c r="AC232" s="155"/>
      <c r="AD232" s="155"/>
      <c r="AE232" s="155"/>
      <c r="AF232" s="155"/>
      <c r="AG232" s="155"/>
    </row>
    <row r="233" spans="1:35" ht="15" customHeight="1">
      <c r="A233" s="110"/>
      <c r="B233" s="242">
        <v>1290</v>
      </c>
      <c r="C233" s="242">
        <v>1270</v>
      </c>
      <c r="D233" s="242">
        <v>1430</v>
      </c>
      <c r="E233" s="242">
        <v>1450</v>
      </c>
      <c r="F233" s="242">
        <v>1430</v>
      </c>
      <c r="G233" s="242">
        <v>1620</v>
      </c>
      <c r="H233" s="242">
        <v>1560</v>
      </c>
      <c r="I233" s="242">
        <v>1290</v>
      </c>
      <c r="J233" s="242">
        <v>1090</v>
      </c>
      <c r="K233" s="242">
        <v>1300</v>
      </c>
      <c r="L233" s="337">
        <v>1550</v>
      </c>
      <c r="M233" s="337">
        <v>1640</v>
      </c>
      <c r="N233" s="337">
        <v>1140</v>
      </c>
      <c r="AA233" s="155"/>
      <c r="AB233" s="155"/>
      <c r="AC233" s="155"/>
      <c r="AD233" s="155"/>
      <c r="AE233" s="155"/>
      <c r="AF233" s="155"/>
      <c r="AG233" s="155"/>
    </row>
    <row r="234" spans="1:35" ht="15" customHeight="1">
      <c r="A234" s="110"/>
      <c r="B234" s="243">
        <v>2.1000000000000001E-2</v>
      </c>
      <c r="C234" s="243">
        <v>2.1000000000000001E-2</v>
      </c>
      <c r="D234" s="243">
        <v>2.3E-2</v>
      </c>
      <c r="E234" s="243">
        <v>2.4E-2</v>
      </c>
      <c r="F234" s="243">
        <v>2.3E-2</v>
      </c>
      <c r="G234" s="243">
        <v>2.7000000000000003E-2</v>
      </c>
      <c r="H234" s="243">
        <v>2.6000000000000002E-2</v>
      </c>
      <c r="I234" s="243">
        <v>2.1000000000000001E-2</v>
      </c>
      <c r="J234" s="243">
        <v>1.8000000000000002E-2</v>
      </c>
      <c r="K234" s="243">
        <v>2.1000000000000001E-2</v>
      </c>
      <c r="L234" s="338">
        <v>2.5000000000000001E-2</v>
      </c>
      <c r="M234" s="338">
        <v>2.6000000000000002E-2</v>
      </c>
      <c r="N234" s="338">
        <v>1.8000000000000002E-2</v>
      </c>
      <c r="AA234" s="156"/>
      <c r="AB234" s="156"/>
      <c r="AC234" s="156"/>
      <c r="AD234" s="156"/>
      <c r="AE234" s="156"/>
      <c r="AF234" s="156"/>
      <c r="AG234" s="156"/>
    </row>
    <row r="235" spans="1:35" ht="15" customHeight="1">
      <c r="A235" s="110" t="s">
        <v>117</v>
      </c>
      <c r="B235" s="242"/>
      <c r="C235" s="242"/>
      <c r="D235" s="242"/>
      <c r="E235" s="242"/>
      <c r="F235" s="242"/>
      <c r="G235" s="242"/>
      <c r="H235" s="242"/>
      <c r="I235" s="242"/>
      <c r="J235" s="242"/>
      <c r="K235" s="242"/>
      <c r="L235" s="337"/>
      <c r="M235" s="337"/>
      <c r="N235" s="337"/>
      <c r="AA235" s="155"/>
      <c r="AB235" s="155"/>
      <c r="AC235" s="155"/>
      <c r="AD235" s="155"/>
      <c r="AE235" s="155"/>
      <c r="AF235" s="155"/>
      <c r="AG235" s="155"/>
    </row>
    <row r="236" spans="1:35" ht="15" customHeight="1">
      <c r="A236" s="110"/>
      <c r="B236" s="242">
        <v>78270</v>
      </c>
      <c r="C236" s="242">
        <v>78450</v>
      </c>
      <c r="D236" s="242">
        <v>78550</v>
      </c>
      <c r="E236" s="242">
        <v>77920</v>
      </c>
      <c r="F236" s="242">
        <v>78510</v>
      </c>
      <c r="G236" s="242">
        <v>78500</v>
      </c>
      <c r="H236" s="242">
        <v>78870</v>
      </c>
      <c r="I236" s="242">
        <v>78940</v>
      </c>
      <c r="J236" s="242">
        <v>79220</v>
      </c>
      <c r="K236" s="242">
        <v>80440</v>
      </c>
      <c r="L236" s="337">
        <v>80740</v>
      </c>
      <c r="M236" s="337">
        <v>81410</v>
      </c>
      <c r="N236" s="337">
        <v>80420</v>
      </c>
      <c r="AA236" s="155"/>
      <c r="AB236" s="155"/>
      <c r="AC236" s="155"/>
      <c r="AD236" s="155"/>
      <c r="AE236" s="155"/>
      <c r="AF236" s="155"/>
      <c r="AG236" s="155"/>
    </row>
    <row r="237" spans="1:35" ht="15" customHeight="1">
      <c r="A237" s="110"/>
      <c r="B237" s="242">
        <v>76610</v>
      </c>
      <c r="C237" s="242">
        <v>76750</v>
      </c>
      <c r="D237" s="242">
        <v>76640</v>
      </c>
      <c r="E237" s="242">
        <v>75970</v>
      </c>
      <c r="F237" s="242">
        <v>76580</v>
      </c>
      <c r="G237" s="242">
        <v>76330</v>
      </c>
      <c r="H237" s="242">
        <v>76870</v>
      </c>
      <c r="I237" s="242">
        <v>77290</v>
      </c>
      <c r="J237" s="242">
        <v>77760</v>
      </c>
      <c r="K237" s="242">
        <v>78770</v>
      </c>
      <c r="L237" s="337">
        <v>78790</v>
      </c>
      <c r="M237" s="337">
        <v>79370</v>
      </c>
      <c r="N237" s="337">
        <v>78890</v>
      </c>
      <c r="AA237" s="155"/>
      <c r="AB237" s="155"/>
      <c r="AC237" s="155"/>
      <c r="AD237" s="155"/>
      <c r="AE237" s="155"/>
      <c r="AF237" s="155"/>
      <c r="AG237" s="155"/>
    </row>
    <row r="238" spans="1:35" ht="15" customHeight="1">
      <c r="A238" s="110"/>
      <c r="B238" s="242">
        <v>1660</v>
      </c>
      <c r="C238" s="242">
        <v>1700</v>
      </c>
      <c r="D238" s="242">
        <v>1910</v>
      </c>
      <c r="E238" s="242">
        <v>1950</v>
      </c>
      <c r="F238" s="242">
        <v>1930</v>
      </c>
      <c r="G238" s="242">
        <v>2170</v>
      </c>
      <c r="H238" s="242">
        <v>2000</v>
      </c>
      <c r="I238" s="242">
        <v>1650</v>
      </c>
      <c r="J238" s="242">
        <v>1460</v>
      </c>
      <c r="K238" s="242">
        <v>1670</v>
      </c>
      <c r="L238" s="337">
        <v>1950</v>
      </c>
      <c r="M238" s="337">
        <v>2040</v>
      </c>
      <c r="N238" s="337">
        <v>1530</v>
      </c>
      <c r="AA238" s="155"/>
      <c r="AB238" s="155"/>
      <c r="AC238" s="155"/>
      <c r="AD238" s="155"/>
      <c r="AE238" s="155"/>
      <c r="AF238" s="155"/>
      <c r="AG238" s="155"/>
    </row>
    <row r="239" spans="1:35" ht="15" customHeight="1">
      <c r="A239" s="110"/>
      <c r="B239" s="243">
        <v>2.1000000000000001E-2</v>
      </c>
      <c r="C239" s="243">
        <v>2.2000000000000002E-2</v>
      </c>
      <c r="D239" s="243">
        <v>2.4E-2</v>
      </c>
      <c r="E239" s="243">
        <v>2.5000000000000001E-2</v>
      </c>
      <c r="F239" s="243">
        <v>2.5000000000000001E-2</v>
      </c>
      <c r="G239" s="243">
        <v>2.7999999999999997E-2</v>
      </c>
      <c r="H239" s="243">
        <v>2.5000000000000001E-2</v>
      </c>
      <c r="I239" s="243">
        <v>2.1000000000000001E-2</v>
      </c>
      <c r="J239" s="243">
        <v>1.8000000000000002E-2</v>
      </c>
      <c r="K239" s="243">
        <v>2.1000000000000001E-2</v>
      </c>
      <c r="L239" s="338">
        <v>2.4E-2</v>
      </c>
      <c r="M239" s="338">
        <v>2.5000000000000001E-2</v>
      </c>
      <c r="N239" s="338">
        <v>1.9E-2</v>
      </c>
      <c r="AA239" s="156"/>
      <c r="AB239" s="156"/>
      <c r="AC239" s="156"/>
      <c r="AD239" s="156"/>
      <c r="AE239" s="156"/>
      <c r="AF239" s="156"/>
      <c r="AG239" s="156"/>
    </row>
    <row r="240" spans="1:35" ht="15" customHeight="1">
      <c r="A240" s="110" t="s">
        <v>354</v>
      </c>
      <c r="B240" s="242"/>
      <c r="C240" s="242"/>
      <c r="D240" s="242"/>
      <c r="E240" s="242"/>
      <c r="F240" s="242"/>
      <c r="G240" s="242"/>
      <c r="H240" s="242"/>
      <c r="I240" s="242"/>
      <c r="J240" s="242"/>
      <c r="K240" s="242"/>
      <c r="L240" s="337"/>
      <c r="M240" s="337"/>
      <c r="N240" s="337"/>
      <c r="AA240" s="155"/>
      <c r="AB240" s="155"/>
      <c r="AC240" s="155"/>
      <c r="AD240" s="155"/>
      <c r="AE240" s="155"/>
      <c r="AF240" s="155"/>
      <c r="AG240" s="155"/>
    </row>
    <row r="241" spans="1:33" ht="15" customHeight="1">
      <c r="A241" s="110"/>
      <c r="B241" s="242">
        <v>15160</v>
      </c>
      <c r="C241" s="242">
        <v>15160</v>
      </c>
      <c r="D241" s="242">
        <v>15240</v>
      </c>
      <c r="E241" s="242">
        <v>15170</v>
      </c>
      <c r="F241" s="242">
        <v>15300</v>
      </c>
      <c r="G241" s="242">
        <v>15170</v>
      </c>
      <c r="H241" s="242">
        <v>15360</v>
      </c>
      <c r="I241" s="242">
        <v>15360</v>
      </c>
      <c r="J241" s="242">
        <v>15400</v>
      </c>
      <c r="K241" s="242">
        <v>15550</v>
      </c>
      <c r="L241" s="337">
        <v>15520</v>
      </c>
      <c r="M241" s="337">
        <v>15830</v>
      </c>
      <c r="N241" s="337">
        <v>15730</v>
      </c>
      <c r="AA241" s="155"/>
      <c r="AB241" s="155"/>
      <c r="AC241" s="155"/>
      <c r="AD241" s="155"/>
      <c r="AE241" s="155"/>
      <c r="AF241" s="155"/>
      <c r="AG241" s="155"/>
    </row>
    <row r="242" spans="1:33" ht="15" customHeight="1">
      <c r="A242" s="110"/>
      <c r="B242" s="242">
        <v>14850</v>
      </c>
      <c r="C242" s="242">
        <v>14860</v>
      </c>
      <c r="D242" s="242">
        <v>14890</v>
      </c>
      <c r="E242" s="242">
        <v>14800</v>
      </c>
      <c r="F242" s="242">
        <v>14920</v>
      </c>
      <c r="G242" s="242">
        <v>14740</v>
      </c>
      <c r="H242" s="242">
        <v>14950</v>
      </c>
      <c r="I242" s="242">
        <v>15030</v>
      </c>
      <c r="J242" s="242">
        <v>15140</v>
      </c>
      <c r="K242" s="242">
        <v>15230</v>
      </c>
      <c r="L242" s="337">
        <v>15140</v>
      </c>
      <c r="M242" s="337">
        <v>15420</v>
      </c>
      <c r="N242" s="337">
        <v>15450</v>
      </c>
      <c r="AA242" s="155"/>
      <c r="AB242" s="155"/>
      <c r="AC242" s="155"/>
      <c r="AD242" s="155"/>
      <c r="AE242" s="155"/>
      <c r="AF242" s="155"/>
      <c r="AG242" s="155"/>
    </row>
    <row r="243" spans="1:33" ht="15" customHeight="1">
      <c r="A243" s="110"/>
      <c r="B243" s="242">
        <v>310</v>
      </c>
      <c r="C243" s="242">
        <v>300</v>
      </c>
      <c r="D243" s="242">
        <v>350</v>
      </c>
      <c r="E243" s="242">
        <v>370</v>
      </c>
      <c r="F243" s="242">
        <v>380</v>
      </c>
      <c r="G243" s="242">
        <v>430</v>
      </c>
      <c r="H243" s="242">
        <v>410</v>
      </c>
      <c r="I243" s="242">
        <v>330</v>
      </c>
      <c r="J243" s="242">
        <v>260</v>
      </c>
      <c r="K243" s="242">
        <v>320</v>
      </c>
      <c r="L243" s="337">
        <v>380</v>
      </c>
      <c r="M243" s="337">
        <v>410</v>
      </c>
      <c r="N243" s="337">
        <v>280</v>
      </c>
      <c r="AA243" s="155"/>
      <c r="AB243" s="155"/>
      <c r="AC243" s="155"/>
      <c r="AD243" s="155"/>
      <c r="AE243" s="155"/>
      <c r="AF243" s="155"/>
      <c r="AG243" s="155"/>
    </row>
    <row r="244" spans="1:33" ht="15" customHeight="1">
      <c r="A244" s="110"/>
      <c r="B244" s="243">
        <v>2.1000000000000001E-2</v>
      </c>
      <c r="C244" s="243">
        <v>0.02</v>
      </c>
      <c r="D244" s="243">
        <v>2.3E-2</v>
      </c>
      <c r="E244" s="243">
        <v>2.4E-2</v>
      </c>
      <c r="F244" s="243">
        <v>2.5000000000000001E-2</v>
      </c>
      <c r="G244" s="243">
        <v>2.8999999999999998E-2</v>
      </c>
      <c r="H244" s="243">
        <v>2.6000000000000002E-2</v>
      </c>
      <c r="I244" s="243">
        <v>2.1000000000000001E-2</v>
      </c>
      <c r="J244" s="243">
        <v>1.7000000000000001E-2</v>
      </c>
      <c r="K244" s="243">
        <v>2.1000000000000001E-2</v>
      </c>
      <c r="L244" s="338">
        <v>2.5000000000000001E-2</v>
      </c>
      <c r="M244" s="338">
        <v>2.6000000000000002E-2</v>
      </c>
      <c r="N244" s="338">
        <v>1.8000000000000002E-2</v>
      </c>
      <c r="AA244" s="156"/>
      <c r="AB244" s="156"/>
      <c r="AC244" s="156"/>
      <c r="AD244" s="156"/>
      <c r="AE244" s="156"/>
      <c r="AF244" s="156"/>
      <c r="AG244" s="156"/>
    </row>
    <row r="245" spans="1:33" ht="15" customHeight="1">
      <c r="A245" s="110" t="s">
        <v>395</v>
      </c>
      <c r="B245" s="242"/>
      <c r="C245" s="242"/>
      <c r="D245" s="242"/>
      <c r="E245" s="242"/>
      <c r="F245" s="242"/>
      <c r="G245" s="242"/>
      <c r="H245" s="242"/>
      <c r="I245" s="242"/>
      <c r="J245" s="242"/>
      <c r="K245" s="242"/>
      <c r="L245" s="337"/>
      <c r="M245" s="337"/>
      <c r="N245" s="337"/>
    </row>
    <row r="246" spans="1:33" ht="15" customHeight="1">
      <c r="A246" s="110"/>
      <c r="B246" s="242">
        <v>18740</v>
      </c>
      <c r="C246" s="242">
        <v>18830</v>
      </c>
      <c r="D246" s="242">
        <v>18900</v>
      </c>
      <c r="E246" s="242">
        <v>18690</v>
      </c>
      <c r="F246" s="242">
        <v>18910</v>
      </c>
      <c r="G246" s="242">
        <v>19020</v>
      </c>
      <c r="H246" s="242">
        <v>19090</v>
      </c>
      <c r="I246" s="242">
        <v>19000</v>
      </c>
      <c r="J246" s="242">
        <v>18930</v>
      </c>
      <c r="K246" s="242">
        <v>19060</v>
      </c>
      <c r="L246" s="337">
        <v>19200</v>
      </c>
      <c r="M246" s="337">
        <v>19240</v>
      </c>
      <c r="N246" s="337">
        <v>18970</v>
      </c>
    </row>
    <row r="247" spans="1:33" ht="15" customHeight="1">
      <c r="A247" s="110"/>
      <c r="B247" s="242">
        <v>18220</v>
      </c>
      <c r="C247" s="242">
        <v>18300</v>
      </c>
      <c r="D247" s="242">
        <v>18300</v>
      </c>
      <c r="E247" s="242">
        <v>18080</v>
      </c>
      <c r="F247" s="242">
        <v>18310</v>
      </c>
      <c r="G247" s="242">
        <v>18300</v>
      </c>
      <c r="H247" s="242">
        <v>18410</v>
      </c>
      <c r="I247" s="242">
        <v>18410</v>
      </c>
      <c r="J247" s="242">
        <v>18440</v>
      </c>
      <c r="K247" s="242">
        <v>18510</v>
      </c>
      <c r="L247" s="337">
        <v>18550</v>
      </c>
      <c r="M247" s="337">
        <v>18570</v>
      </c>
      <c r="N247" s="337">
        <v>18500</v>
      </c>
    </row>
    <row r="248" spans="1:33" ht="15" customHeight="1">
      <c r="A248" s="110"/>
      <c r="B248" s="242">
        <v>520</v>
      </c>
      <c r="C248" s="242">
        <v>530</v>
      </c>
      <c r="D248" s="242">
        <v>600</v>
      </c>
      <c r="E248" s="242">
        <v>610</v>
      </c>
      <c r="F248" s="242">
        <v>600</v>
      </c>
      <c r="G248" s="242">
        <v>720</v>
      </c>
      <c r="H248" s="242">
        <v>680</v>
      </c>
      <c r="I248" s="242">
        <v>590</v>
      </c>
      <c r="J248" s="242">
        <v>490</v>
      </c>
      <c r="K248" s="242">
        <v>550</v>
      </c>
      <c r="L248" s="337">
        <v>650</v>
      </c>
      <c r="M248" s="337">
        <v>670</v>
      </c>
      <c r="N248" s="337">
        <v>470</v>
      </c>
    </row>
    <row r="249" spans="1:33" ht="15" customHeight="1">
      <c r="A249" s="110"/>
      <c r="B249" s="243">
        <v>2.7999999999999997E-2</v>
      </c>
      <c r="C249" s="243">
        <v>2.7999999999999997E-2</v>
      </c>
      <c r="D249" s="243">
        <v>3.2000000000000001E-2</v>
      </c>
      <c r="E249" s="243">
        <v>3.3000000000000002E-2</v>
      </c>
      <c r="F249" s="243">
        <v>3.2000000000000001E-2</v>
      </c>
      <c r="G249" s="243">
        <v>3.7999999999999999E-2</v>
      </c>
      <c r="H249" s="243">
        <v>3.6000000000000004E-2</v>
      </c>
      <c r="I249" s="243">
        <v>3.1E-2</v>
      </c>
      <c r="J249" s="243">
        <v>2.6000000000000002E-2</v>
      </c>
      <c r="K249" s="243">
        <v>2.8999999999999998E-2</v>
      </c>
      <c r="L249" s="338">
        <v>3.4000000000000002E-2</v>
      </c>
      <c r="M249" s="338">
        <v>3.5000000000000003E-2</v>
      </c>
      <c r="N249" s="338">
        <v>2.5000000000000001E-2</v>
      </c>
    </row>
    <row r="250" spans="1:33" ht="15" customHeight="1">
      <c r="A250" s="171" t="s">
        <v>398</v>
      </c>
      <c r="B250" s="242"/>
      <c r="C250" s="242"/>
      <c r="D250" s="242"/>
      <c r="E250" s="242"/>
      <c r="F250" s="242"/>
      <c r="G250" s="242"/>
      <c r="H250" s="242"/>
      <c r="I250" s="242"/>
      <c r="J250" s="242"/>
      <c r="K250" s="242"/>
      <c r="L250" s="337"/>
      <c r="M250" s="337"/>
      <c r="N250" s="337"/>
    </row>
    <row r="251" spans="1:33" ht="15" customHeight="1">
      <c r="A251" s="110"/>
      <c r="B251" s="242">
        <v>39600</v>
      </c>
      <c r="C251" s="242">
        <v>39790</v>
      </c>
      <c r="D251" s="242">
        <v>39980</v>
      </c>
      <c r="E251" s="242">
        <v>39530</v>
      </c>
      <c r="F251" s="242">
        <v>39960</v>
      </c>
      <c r="G251" s="242">
        <v>40070</v>
      </c>
      <c r="H251" s="242">
        <v>40290</v>
      </c>
      <c r="I251" s="242">
        <v>40100</v>
      </c>
      <c r="J251" s="242">
        <v>40030</v>
      </c>
      <c r="K251" s="242">
        <v>40370</v>
      </c>
      <c r="L251" s="337">
        <v>40650</v>
      </c>
      <c r="M251" s="337">
        <v>40780</v>
      </c>
      <c r="N251" s="337">
        <v>40240</v>
      </c>
    </row>
    <row r="252" spans="1:33" ht="15" customHeight="1">
      <c r="B252" s="242">
        <v>38560</v>
      </c>
      <c r="C252" s="242">
        <v>38730</v>
      </c>
      <c r="D252" s="242">
        <v>38760</v>
      </c>
      <c r="E252" s="242">
        <v>38270</v>
      </c>
      <c r="F252" s="242">
        <v>38640</v>
      </c>
      <c r="G252" s="242">
        <v>38530</v>
      </c>
      <c r="H252" s="242">
        <v>38840</v>
      </c>
      <c r="I252" s="242">
        <v>38890</v>
      </c>
      <c r="J252" s="242">
        <v>39080</v>
      </c>
      <c r="K252" s="242">
        <v>39330</v>
      </c>
      <c r="L252" s="337">
        <v>39340</v>
      </c>
      <c r="M252" s="337">
        <v>39470</v>
      </c>
      <c r="N252" s="337">
        <v>39340</v>
      </c>
    </row>
    <row r="253" spans="1:33" ht="15" customHeight="1">
      <c r="B253" s="242">
        <v>1040</v>
      </c>
      <c r="C253" s="242">
        <v>1060</v>
      </c>
      <c r="D253" s="242">
        <v>1220</v>
      </c>
      <c r="E253" s="242">
        <v>1260</v>
      </c>
      <c r="F253" s="242">
        <v>1320</v>
      </c>
      <c r="G253" s="242">
        <v>1540</v>
      </c>
      <c r="H253" s="242">
        <v>1450</v>
      </c>
      <c r="I253" s="242">
        <v>1210</v>
      </c>
      <c r="J253" s="242">
        <v>950</v>
      </c>
      <c r="K253" s="242">
        <v>1040</v>
      </c>
      <c r="L253" s="337">
        <v>1310</v>
      </c>
      <c r="M253" s="337">
        <v>1310</v>
      </c>
      <c r="N253" s="337">
        <v>900</v>
      </c>
    </row>
    <row r="254" spans="1:33" ht="15" customHeight="1">
      <c r="B254" s="243">
        <v>2.6000000000000002E-2</v>
      </c>
      <c r="C254" s="243">
        <v>2.7000000000000003E-2</v>
      </c>
      <c r="D254" s="243">
        <v>0.03</v>
      </c>
      <c r="E254" s="243">
        <v>3.2000000000000001E-2</v>
      </c>
      <c r="F254" s="243">
        <v>3.3000000000000002E-2</v>
      </c>
      <c r="G254" s="243">
        <v>3.7999999999999999E-2</v>
      </c>
      <c r="H254" s="243">
        <v>3.6000000000000004E-2</v>
      </c>
      <c r="I254" s="243">
        <v>0.03</v>
      </c>
      <c r="J254" s="243">
        <v>2.4E-2</v>
      </c>
      <c r="K254" s="243">
        <v>2.6000000000000002E-2</v>
      </c>
      <c r="L254" s="338">
        <v>3.2000000000000001E-2</v>
      </c>
      <c r="M254" s="338">
        <v>3.2000000000000001E-2</v>
      </c>
      <c r="N254" s="338">
        <v>2.2000000000000002E-2</v>
      </c>
    </row>
    <row r="255" spans="1:33" ht="15" customHeight="1">
      <c r="A255" s="7" t="s">
        <v>113</v>
      </c>
      <c r="B255" s="242"/>
      <c r="C255" s="242"/>
      <c r="D255" s="242"/>
      <c r="E255" s="242"/>
      <c r="F255" s="242"/>
      <c r="G255" s="242"/>
      <c r="H255" s="242"/>
      <c r="I255" s="242"/>
      <c r="J255" s="242"/>
      <c r="K255" s="242"/>
      <c r="L255" s="337"/>
      <c r="M255" s="337"/>
      <c r="N255" s="337"/>
    </row>
    <row r="256" spans="1:33" ht="15" customHeight="1">
      <c r="B256" s="242">
        <v>9000</v>
      </c>
      <c r="C256" s="242">
        <v>8900</v>
      </c>
      <c r="D256" s="242">
        <v>8880</v>
      </c>
      <c r="E256" s="242">
        <v>8790</v>
      </c>
      <c r="F256" s="242">
        <v>8720</v>
      </c>
      <c r="G256" s="242">
        <v>8700</v>
      </c>
      <c r="H256" s="242">
        <v>8760</v>
      </c>
      <c r="I256" s="242">
        <v>8780</v>
      </c>
      <c r="J256" s="242">
        <v>8950</v>
      </c>
      <c r="K256" s="242">
        <v>9330</v>
      </c>
      <c r="L256" s="337">
        <v>9850</v>
      </c>
      <c r="M256" s="337">
        <v>9810</v>
      </c>
      <c r="N256" s="337">
        <v>9010</v>
      </c>
    </row>
    <row r="257" spans="1:26" ht="15" customHeight="1">
      <c r="B257" s="242">
        <v>8760</v>
      </c>
      <c r="C257" s="242">
        <v>8670</v>
      </c>
      <c r="D257" s="242">
        <v>8610</v>
      </c>
      <c r="E257" s="242">
        <v>8510</v>
      </c>
      <c r="F257" s="242">
        <v>8450</v>
      </c>
      <c r="G257" s="242">
        <v>8400</v>
      </c>
      <c r="H257" s="242">
        <v>8490</v>
      </c>
      <c r="I257" s="242">
        <v>8550</v>
      </c>
      <c r="J257" s="242">
        <v>8760</v>
      </c>
      <c r="K257" s="242">
        <v>9100</v>
      </c>
      <c r="L257" s="337">
        <v>9570</v>
      </c>
      <c r="M257" s="337">
        <v>9500</v>
      </c>
      <c r="N257" s="337">
        <v>8800</v>
      </c>
    </row>
    <row r="258" spans="1:26" ht="15" customHeight="1">
      <c r="B258" s="242">
        <v>240</v>
      </c>
      <c r="C258" s="242">
        <v>230</v>
      </c>
      <c r="D258" s="242">
        <v>270</v>
      </c>
      <c r="E258" s="242">
        <v>280</v>
      </c>
      <c r="F258" s="242">
        <v>270</v>
      </c>
      <c r="G258" s="242">
        <v>300</v>
      </c>
      <c r="H258" s="242">
        <v>270</v>
      </c>
      <c r="I258" s="242">
        <v>230</v>
      </c>
      <c r="J258" s="242">
        <v>190</v>
      </c>
      <c r="K258" s="242">
        <v>230</v>
      </c>
      <c r="L258" s="337">
        <v>280</v>
      </c>
      <c r="M258" s="337">
        <v>310</v>
      </c>
      <c r="N258" s="337">
        <v>210</v>
      </c>
    </row>
    <row r="259" spans="1:26" ht="15" customHeight="1">
      <c r="B259" s="243">
        <v>2.7000000000000003E-2</v>
      </c>
      <c r="C259" s="243">
        <v>2.6000000000000002E-2</v>
      </c>
      <c r="D259" s="243">
        <v>0.03</v>
      </c>
      <c r="E259" s="243">
        <v>3.2000000000000001E-2</v>
      </c>
      <c r="F259" s="243">
        <v>3.1E-2</v>
      </c>
      <c r="G259" s="243">
        <v>3.4000000000000002E-2</v>
      </c>
      <c r="H259" s="243">
        <v>3.1E-2</v>
      </c>
      <c r="I259" s="243">
        <v>2.6000000000000002E-2</v>
      </c>
      <c r="J259" s="243">
        <v>2.1000000000000001E-2</v>
      </c>
      <c r="K259" s="243">
        <v>2.4E-2</v>
      </c>
      <c r="L259" s="338">
        <v>2.7999999999999997E-2</v>
      </c>
      <c r="M259" s="338">
        <v>3.1E-2</v>
      </c>
      <c r="N259" s="338">
        <v>2.3E-2</v>
      </c>
      <c r="V259"/>
      <c r="W259"/>
      <c r="X259"/>
      <c r="Y259"/>
      <c r="Z259"/>
    </row>
    <row r="260" spans="1:26" ht="15" customHeight="1">
      <c r="A260" s="7" t="s">
        <v>362</v>
      </c>
      <c r="B260" s="242"/>
      <c r="C260" s="242"/>
      <c r="D260" s="242"/>
      <c r="E260" s="242"/>
      <c r="F260" s="242"/>
      <c r="G260" s="242"/>
      <c r="H260" s="242"/>
      <c r="I260" s="242"/>
      <c r="J260" s="242"/>
      <c r="K260" s="242"/>
      <c r="L260" s="337"/>
      <c r="M260" s="337"/>
      <c r="N260" s="337"/>
      <c r="U260"/>
      <c r="V260" s="152"/>
      <c r="W260" s="152"/>
      <c r="X260" s="153"/>
      <c r="Y260" s="154"/>
      <c r="Z260" s="3"/>
    </row>
    <row r="261" spans="1:26" ht="15" customHeight="1">
      <c r="B261" s="334">
        <v>23202</v>
      </c>
      <c r="C261" s="334">
        <v>23177</v>
      </c>
      <c r="D261" s="334">
        <v>23306</v>
      </c>
      <c r="E261" s="334">
        <v>23316</v>
      </c>
      <c r="F261" s="334">
        <v>23873</v>
      </c>
      <c r="G261" s="334">
        <v>23755</v>
      </c>
      <c r="H261" s="334">
        <v>24098</v>
      </c>
      <c r="I261" s="334">
        <v>23331</v>
      </c>
      <c r="J261" s="334">
        <v>23453</v>
      </c>
      <c r="K261" s="334">
        <v>23575</v>
      </c>
      <c r="L261" s="337">
        <v>23462</v>
      </c>
      <c r="M261" s="337">
        <v>23462</v>
      </c>
      <c r="N261" s="337">
        <v>23222</v>
      </c>
      <c r="P261" s="173"/>
      <c r="Q261"/>
      <c r="R261"/>
      <c r="S261"/>
      <c r="T261"/>
      <c r="U261" s="151"/>
      <c r="V261" s="164"/>
      <c r="Y261" s="145"/>
    </row>
    <row r="262" spans="1:26" ht="15" customHeight="1">
      <c r="B262" s="334">
        <v>22645</v>
      </c>
      <c r="C262" s="334">
        <v>22705</v>
      </c>
      <c r="D262" s="334">
        <v>22692</v>
      </c>
      <c r="E262" s="334">
        <v>22676</v>
      </c>
      <c r="F262" s="334">
        <v>23179</v>
      </c>
      <c r="G262" s="334">
        <v>23087</v>
      </c>
      <c r="H262" s="334">
        <v>23569</v>
      </c>
      <c r="I262" s="334">
        <v>22734</v>
      </c>
      <c r="J262" s="334">
        <v>22854</v>
      </c>
      <c r="K262" s="334">
        <v>22977</v>
      </c>
      <c r="L262" s="337">
        <v>22872</v>
      </c>
      <c r="M262" s="337">
        <v>22788</v>
      </c>
      <c r="N262" s="337">
        <v>22596</v>
      </c>
      <c r="P262"/>
      <c r="Q262" s="150"/>
      <c r="R262" s="150"/>
      <c r="S262" s="376"/>
      <c r="T262" s="376"/>
      <c r="U262" s="164"/>
      <c r="V262" s="164"/>
      <c r="Y262" s="145"/>
    </row>
    <row r="263" spans="1:26" ht="15" customHeight="1">
      <c r="B263" s="334">
        <v>557</v>
      </c>
      <c r="C263" s="334">
        <v>472</v>
      </c>
      <c r="D263" s="334">
        <v>614</v>
      </c>
      <c r="E263" s="334">
        <v>640</v>
      </c>
      <c r="F263" s="334">
        <v>694</v>
      </c>
      <c r="G263" s="334">
        <v>668</v>
      </c>
      <c r="H263" s="334">
        <v>529</v>
      </c>
      <c r="I263" s="334">
        <v>597</v>
      </c>
      <c r="J263" s="334">
        <v>599</v>
      </c>
      <c r="K263" s="334">
        <v>598</v>
      </c>
      <c r="L263" s="337">
        <v>590</v>
      </c>
      <c r="M263" s="337">
        <v>674</v>
      </c>
      <c r="N263" s="337">
        <v>626</v>
      </c>
      <c r="P263"/>
      <c r="Q263" s="173"/>
      <c r="R263" s="167"/>
      <c r="S263" s="174"/>
      <c r="T263" s="164"/>
      <c r="U263" s="164"/>
      <c r="Y263" s="145"/>
    </row>
    <row r="264" spans="1:26" ht="15" customHeight="1">
      <c r="B264" s="335">
        <v>2.4E-2</v>
      </c>
      <c r="C264" s="335">
        <v>0.02</v>
      </c>
      <c r="D264" s="335">
        <v>2.5999999999999999E-2</v>
      </c>
      <c r="E264" s="335">
        <v>2.7E-2</v>
      </c>
      <c r="F264" s="335">
        <v>2.9000000000000001E-2</v>
      </c>
      <c r="G264" s="335">
        <v>2.8000000000000001E-2</v>
      </c>
      <c r="H264" s="335">
        <v>2.1999999999999999E-2</v>
      </c>
      <c r="I264" s="335">
        <v>2.5999999999999999E-2</v>
      </c>
      <c r="J264" s="335">
        <v>2.5999999999999999E-2</v>
      </c>
      <c r="K264" s="335">
        <v>2.5000000000000001E-2</v>
      </c>
      <c r="L264" s="338">
        <v>2.5000000000000001E-2</v>
      </c>
      <c r="M264" s="338">
        <v>2.9000000000000001E-2</v>
      </c>
      <c r="N264" s="338">
        <v>2.7E-2</v>
      </c>
      <c r="P264" s="175"/>
      <c r="Q264" s="163"/>
      <c r="R264" s="164"/>
      <c r="S264" s="164"/>
      <c r="T264" s="164"/>
    </row>
    <row r="265" spans="1:26" ht="15" customHeight="1">
      <c r="A265" s="110" t="s">
        <v>363</v>
      </c>
      <c r="B265" s="242"/>
      <c r="C265" s="242"/>
      <c r="D265" s="242"/>
      <c r="E265" s="242"/>
      <c r="F265" s="242"/>
      <c r="G265" s="242"/>
      <c r="H265" s="242"/>
      <c r="I265" s="242"/>
      <c r="J265" s="242"/>
      <c r="K265" s="242"/>
      <c r="L265" s="242"/>
      <c r="M265" s="242"/>
      <c r="N265" s="242"/>
      <c r="Q265" s="144"/>
      <c r="R265" s="144"/>
      <c r="S265" s="144"/>
      <c r="T265" s="144"/>
      <c r="U265" s="145"/>
    </row>
    <row r="266" spans="1:26" ht="15" customHeight="1">
      <c r="B266" s="14">
        <v>116230</v>
      </c>
      <c r="C266" s="14">
        <v>116834</v>
      </c>
      <c r="D266" s="14">
        <v>117112</v>
      </c>
      <c r="E266" s="14">
        <v>116368</v>
      </c>
      <c r="F266" s="14">
        <v>117377</v>
      </c>
      <c r="G266" s="14">
        <v>117013</v>
      </c>
      <c r="H266" s="14">
        <v>118650</v>
      </c>
      <c r="I266" s="14">
        <v>117747</v>
      </c>
      <c r="J266" s="14">
        <v>118235</v>
      </c>
      <c r="K266" s="242">
        <v>120844</v>
      </c>
      <c r="L266" s="242">
        <v>121364</v>
      </c>
      <c r="M266" s="2">
        <v>121237</v>
      </c>
      <c r="N266" s="2">
        <v>118694</v>
      </c>
      <c r="O266" s="176"/>
      <c r="P266" s="2"/>
      <c r="R266" s="9"/>
      <c r="S266" s="9"/>
      <c r="U266" s="145"/>
    </row>
    <row r="267" spans="1:26" ht="15" customHeight="1">
      <c r="B267" s="14">
        <v>112955</v>
      </c>
      <c r="C267" s="14">
        <v>113586</v>
      </c>
      <c r="D267" s="14">
        <v>113819</v>
      </c>
      <c r="E267" s="14">
        <v>112838</v>
      </c>
      <c r="F267" s="14">
        <v>113521</v>
      </c>
      <c r="G267" s="14">
        <v>112797</v>
      </c>
      <c r="H267" s="14">
        <v>114577</v>
      </c>
      <c r="I267" s="14">
        <v>114254</v>
      </c>
      <c r="J267" s="14">
        <v>114543</v>
      </c>
      <c r="K267" s="242">
        <v>116817</v>
      </c>
      <c r="L267" s="242">
        <v>116660</v>
      </c>
      <c r="M267" s="2">
        <v>116537</v>
      </c>
      <c r="N267" s="2">
        <v>115122</v>
      </c>
      <c r="O267" s="176"/>
      <c r="P267" s="2"/>
      <c r="R267" s="9"/>
      <c r="S267" s="9"/>
    </row>
    <row r="268" spans="1:26" ht="15" customHeight="1">
      <c r="B268" s="14">
        <v>3275</v>
      </c>
      <c r="C268" s="14">
        <v>3248</v>
      </c>
      <c r="D268" s="14">
        <v>3293</v>
      </c>
      <c r="E268" s="14">
        <v>3530</v>
      </c>
      <c r="F268" s="14">
        <v>3856</v>
      </c>
      <c r="G268" s="14">
        <v>4216</v>
      </c>
      <c r="H268" s="14">
        <v>4073</v>
      </c>
      <c r="I268" s="14">
        <v>3493</v>
      </c>
      <c r="J268" s="14">
        <v>3692</v>
      </c>
      <c r="K268" s="242">
        <v>4027</v>
      </c>
      <c r="L268" s="242">
        <v>4704</v>
      </c>
      <c r="M268" s="2">
        <v>4700</v>
      </c>
      <c r="N268" s="2">
        <v>3572</v>
      </c>
      <c r="O268" s="176"/>
      <c r="P268" s="2"/>
      <c r="Q268" s="2"/>
      <c r="R268" s="177"/>
      <c r="S268" s="9"/>
    </row>
    <row r="269" spans="1:26" ht="15" customHeight="1">
      <c r="B269" s="15">
        <v>2.7999999999999997E-2</v>
      </c>
      <c r="C269" s="15">
        <v>2.7999999999999997E-2</v>
      </c>
      <c r="D269" s="15">
        <v>2.7999999999999997E-2</v>
      </c>
      <c r="E269" s="15">
        <v>0.03</v>
      </c>
      <c r="F269" s="15">
        <v>3.3000000000000002E-2</v>
      </c>
      <c r="G269" s="15">
        <v>3.6000000000000004E-2</v>
      </c>
      <c r="H269" s="15">
        <v>3.4000000000000002E-2</v>
      </c>
      <c r="I269" s="15">
        <v>0.03</v>
      </c>
      <c r="J269" s="15">
        <v>3.1E-2</v>
      </c>
      <c r="K269" s="15">
        <v>3.3000000000000002E-2</v>
      </c>
      <c r="L269" s="15">
        <v>3.9E-2</v>
      </c>
      <c r="M269" s="335">
        <v>3.9E-2</v>
      </c>
      <c r="N269" s="335">
        <v>0.03</v>
      </c>
      <c r="O269" s="179"/>
      <c r="P269"/>
      <c r="Q269" s="2"/>
      <c r="R269" s="9"/>
      <c r="S269" s="9"/>
    </row>
    <row r="270" spans="1:26" ht="15" customHeight="1">
      <c r="A270" s="110" t="s">
        <v>114</v>
      </c>
      <c r="B270" s="242"/>
      <c r="C270" s="242"/>
      <c r="D270" s="242"/>
      <c r="E270" s="242"/>
      <c r="F270" s="242"/>
      <c r="G270" s="242"/>
      <c r="H270" s="242"/>
      <c r="I270" s="242"/>
      <c r="J270" s="242"/>
      <c r="K270" s="242"/>
      <c r="L270" s="242"/>
      <c r="M270" s="242"/>
      <c r="N270" s="242"/>
      <c r="Q270" s="2"/>
      <c r="R270" s="175"/>
      <c r="S270" s="9"/>
    </row>
    <row r="271" spans="1:26" ht="15" customHeight="1">
      <c r="B271" s="14">
        <v>98182</v>
      </c>
      <c r="C271" s="14">
        <v>98656</v>
      </c>
      <c r="D271" s="14">
        <v>98842</v>
      </c>
      <c r="E271" s="14">
        <v>98502</v>
      </c>
      <c r="F271" s="14">
        <v>99492</v>
      </c>
      <c r="G271" s="14">
        <v>99190</v>
      </c>
      <c r="H271" s="14">
        <v>100589</v>
      </c>
      <c r="I271" s="14">
        <v>99783</v>
      </c>
      <c r="J271" s="14">
        <v>100091</v>
      </c>
      <c r="K271" s="242">
        <v>102471</v>
      </c>
      <c r="L271" s="242">
        <v>103156</v>
      </c>
      <c r="M271" s="242">
        <v>102935</v>
      </c>
      <c r="N271" s="242">
        <v>100413</v>
      </c>
      <c r="O271" s="178"/>
      <c r="P271" s="173"/>
      <c r="Q271"/>
      <c r="R271" s="178"/>
      <c r="S271" s="9"/>
    </row>
    <row r="272" spans="1:26" ht="15" customHeight="1">
      <c r="B272" s="14">
        <v>94247</v>
      </c>
      <c r="C272" s="14">
        <v>94808</v>
      </c>
      <c r="D272" s="14">
        <v>95002</v>
      </c>
      <c r="E272" s="14">
        <v>94354</v>
      </c>
      <c r="F272" s="14">
        <v>95081</v>
      </c>
      <c r="G272" s="14">
        <v>94454</v>
      </c>
      <c r="H272" s="14">
        <v>95899</v>
      </c>
      <c r="I272" s="14">
        <v>95489</v>
      </c>
      <c r="J272" s="14">
        <v>95372</v>
      </c>
      <c r="K272" s="242">
        <v>97301</v>
      </c>
      <c r="L272" s="242">
        <v>97303</v>
      </c>
      <c r="M272" s="242">
        <v>96909</v>
      </c>
      <c r="N272" s="242">
        <v>95640</v>
      </c>
      <c r="O272" s="178"/>
      <c r="P272" s="164"/>
      <c r="Q272" s="2"/>
      <c r="R272" s="2"/>
      <c r="S272" s="9"/>
      <c r="V272" s="146"/>
    </row>
    <row r="273" spans="1:24" ht="15" customHeight="1">
      <c r="B273" s="14">
        <v>3935</v>
      </c>
      <c r="C273" s="14">
        <v>3848</v>
      </c>
      <c r="D273" s="14">
        <v>3840</v>
      </c>
      <c r="E273" s="14">
        <v>4148</v>
      </c>
      <c r="F273" s="14">
        <v>4411</v>
      </c>
      <c r="G273" s="14">
        <v>4736</v>
      </c>
      <c r="H273" s="14">
        <v>4690</v>
      </c>
      <c r="I273" s="14">
        <v>4294</v>
      </c>
      <c r="J273" s="14">
        <v>4719</v>
      </c>
      <c r="K273" s="242">
        <v>5170</v>
      </c>
      <c r="L273" s="242">
        <v>5853</v>
      </c>
      <c r="M273" s="242">
        <v>6026</v>
      </c>
      <c r="N273" s="242">
        <v>4773</v>
      </c>
      <c r="O273" s="178"/>
      <c r="P273" s="164"/>
      <c r="Q273" s="2"/>
      <c r="R273" s="2"/>
      <c r="S273" s="9"/>
      <c r="U273" s="164"/>
    </row>
    <row r="274" spans="1:24" ht="15" customHeight="1">
      <c r="B274" s="15">
        <v>0.04</v>
      </c>
      <c r="C274" s="15">
        <v>3.9E-2</v>
      </c>
      <c r="D274" s="15">
        <v>3.9E-2</v>
      </c>
      <c r="E274" s="15">
        <v>4.2000000000000003E-2</v>
      </c>
      <c r="F274" s="15">
        <v>4.4000000000000004E-2</v>
      </c>
      <c r="G274" s="15">
        <v>4.8000000000000001E-2</v>
      </c>
      <c r="H274" s="15">
        <v>4.7E-2</v>
      </c>
      <c r="I274" s="15">
        <v>4.2999999999999997E-2</v>
      </c>
      <c r="J274" s="15">
        <v>4.7E-2</v>
      </c>
      <c r="K274" s="15">
        <v>0.05</v>
      </c>
      <c r="L274" s="15">
        <v>5.7000000000000002E-2</v>
      </c>
      <c r="M274" s="15">
        <v>5.9000000000000004E-2</v>
      </c>
      <c r="N274" s="15">
        <v>4.8000000000000001E-2</v>
      </c>
      <c r="O274" s="165"/>
      <c r="P274" s="2"/>
      <c r="Q274" s="2"/>
      <c r="R274" s="2"/>
      <c r="S274" s="164"/>
      <c r="T274" s="164"/>
      <c r="U274" s="164"/>
    </row>
    <row r="275" spans="1:24" ht="15" customHeight="1">
      <c r="A275" s="110" t="s">
        <v>115</v>
      </c>
      <c r="B275" s="242"/>
      <c r="C275" s="242"/>
      <c r="D275" s="242"/>
      <c r="E275" s="242"/>
      <c r="F275" s="242"/>
      <c r="G275" s="242"/>
      <c r="H275" s="242"/>
      <c r="I275" s="242"/>
      <c r="J275" s="242"/>
      <c r="K275" s="242"/>
      <c r="L275" s="242"/>
      <c r="M275" s="242"/>
      <c r="N275" s="242"/>
      <c r="P275" s="2"/>
      <c r="Q275"/>
      <c r="R275"/>
      <c r="S275" s="164"/>
      <c r="T275" s="164"/>
      <c r="V275"/>
    </row>
    <row r="276" spans="1:24" ht="15" customHeight="1">
      <c r="B276" s="14">
        <v>192680</v>
      </c>
      <c r="C276" s="14">
        <v>193544</v>
      </c>
      <c r="D276" s="14">
        <v>194489</v>
      </c>
      <c r="E276" s="14">
        <v>194066</v>
      </c>
      <c r="F276" s="14">
        <v>195710</v>
      </c>
      <c r="G276" s="14">
        <v>194805</v>
      </c>
      <c r="H276" s="14">
        <v>197753</v>
      </c>
      <c r="I276" s="14">
        <v>196387</v>
      </c>
      <c r="J276" s="14">
        <v>196818</v>
      </c>
      <c r="K276" s="242">
        <v>201942</v>
      </c>
      <c r="L276" s="242">
        <v>202356</v>
      </c>
      <c r="M276" s="242">
        <v>201438</v>
      </c>
      <c r="N276" s="242">
        <v>197299</v>
      </c>
      <c r="O276" s="167"/>
      <c r="P276" s="2"/>
      <c r="Q276" s="2"/>
      <c r="R276" s="2"/>
      <c r="S276" s="2"/>
      <c r="U276"/>
      <c r="V276"/>
    </row>
    <row r="277" spans="1:24" ht="15" customHeight="1">
      <c r="B277" s="14">
        <v>186612</v>
      </c>
      <c r="C277" s="14">
        <v>187608</v>
      </c>
      <c r="D277" s="14">
        <v>188774</v>
      </c>
      <c r="E277" s="14">
        <v>187756</v>
      </c>
      <c r="F277" s="14">
        <v>188900</v>
      </c>
      <c r="G277" s="14">
        <v>187561</v>
      </c>
      <c r="H277" s="14">
        <v>190638</v>
      </c>
      <c r="I277" s="14">
        <v>189992</v>
      </c>
      <c r="J277" s="14">
        <v>189251</v>
      </c>
      <c r="K277" s="242">
        <v>193598</v>
      </c>
      <c r="L277" s="242">
        <v>192729</v>
      </c>
      <c r="M277" s="242">
        <v>191807</v>
      </c>
      <c r="N277" s="242">
        <v>189779</v>
      </c>
      <c r="O277" s="164"/>
      <c r="P277"/>
      <c r="Q277" s="2"/>
      <c r="R277"/>
      <c r="S277"/>
      <c r="T277"/>
      <c r="U277"/>
      <c r="V277"/>
    </row>
    <row r="278" spans="1:24" ht="15" customHeight="1">
      <c r="B278" s="14">
        <v>6068</v>
      </c>
      <c r="C278" s="14">
        <v>5936</v>
      </c>
      <c r="D278" s="14">
        <v>5715</v>
      </c>
      <c r="E278" s="14">
        <v>6310</v>
      </c>
      <c r="F278" s="14">
        <v>6810</v>
      </c>
      <c r="G278" s="14">
        <v>7244</v>
      </c>
      <c r="H278" s="14">
        <v>7115</v>
      </c>
      <c r="I278" s="14">
        <v>6395</v>
      </c>
      <c r="J278" s="14">
        <v>7567</v>
      </c>
      <c r="K278" s="242">
        <v>8344</v>
      </c>
      <c r="L278" s="242">
        <v>9627</v>
      </c>
      <c r="M278" s="242">
        <v>9631</v>
      </c>
      <c r="N278" s="242">
        <v>7520</v>
      </c>
      <c r="O278" s="318"/>
      <c r="P278" s="9"/>
      <c r="Q278" s="2"/>
      <c r="R278"/>
      <c r="S278"/>
      <c r="T278"/>
      <c r="U278"/>
      <c r="V278"/>
    </row>
    <row r="279" spans="1:24" ht="15" customHeight="1">
      <c r="B279" s="15">
        <v>3.1E-2</v>
      </c>
      <c r="C279" s="15">
        <v>3.1E-2</v>
      </c>
      <c r="D279" s="15">
        <v>2.8999999999999998E-2</v>
      </c>
      <c r="E279" s="15">
        <v>3.3000000000000002E-2</v>
      </c>
      <c r="F279" s="15">
        <v>3.5000000000000003E-2</v>
      </c>
      <c r="G279" s="15">
        <v>3.7000000000000005E-2</v>
      </c>
      <c r="H279" s="15">
        <v>3.6000000000000004E-2</v>
      </c>
      <c r="I279" s="15">
        <v>3.3000000000000002E-2</v>
      </c>
      <c r="J279" s="15">
        <v>3.7999999999999999E-2</v>
      </c>
      <c r="K279" s="15">
        <v>4.0999999999999995E-2</v>
      </c>
      <c r="L279" s="15">
        <v>4.8000000000000001E-2</v>
      </c>
      <c r="M279" s="15">
        <v>4.8000000000000001E-2</v>
      </c>
      <c r="N279" s="15">
        <v>3.7999999999999999E-2</v>
      </c>
      <c r="O279" s="165"/>
      <c r="P279" s="165"/>
      <c r="Q279"/>
      <c r="R279"/>
      <c r="S279"/>
      <c r="T279"/>
      <c r="U279"/>
      <c r="V279"/>
    </row>
    <row r="280" spans="1:24" ht="15" customHeight="1">
      <c r="B280" s="241"/>
      <c r="C280" s="241"/>
      <c r="D280" s="241"/>
      <c r="E280" s="241"/>
      <c r="F280" s="241"/>
      <c r="G280" s="241"/>
      <c r="H280" s="241"/>
      <c r="I280" s="241"/>
      <c r="J280" s="241"/>
      <c r="K280" s="241"/>
      <c r="L280" s="241"/>
      <c r="M280" s="241"/>
      <c r="N280" s="242"/>
      <c r="P280"/>
      <c r="Q280"/>
      <c r="R280"/>
      <c r="S280"/>
      <c r="T280"/>
      <c r="U280" s="2"/>
      <c r="V280"/>
    </row>
    <row r="281" spans="1:24" ht="15" customHeight="1">
      <c r="A281"/>
      <c r="B281"/>
      <c r="C281" s="2"/>
      <c r="D281" s="2"/>
      <c r="E281" s="2"/>
      <c r="F281"/>
      <c r="G281"/>
      <c r="H281"/>
      <c r="N281" s="242"/>
      <c r="P281"/>
      <c r="Q281"/>
      <c r="R281"/>
      <c r="S281" s="2"/>
      <c r="T281" s="2"/>
      <c r="U281"/>
      <c r="V281"/>
      <c r="X281" s="15"/>
    </row>
    <row r="282" spans="1:24" ht="15" customHeight="1">
      <c r="A282"/>
      <c r="B282"/>
      <c r="C282" s="2"/>
      <c r="D282" s="2"/>
      <c r="E282" s="2"/>
      <c r="F282"/>
      <c r="G282"/>
      <c r="H282"/>
      <c r="I282" s="180"/>
      <c r="J282" s="180"/>
      <c r="K282" s="183"/>
      <c r="L282" s="183"/>
      <c r="M282" s="183"/>
      <c r="N282" s="183"/>
      <c r="P282"/>
      <c r="Q282"/>
      <c r="R282"/>
      <c r="S282"/>
      <c r="T282"/>
      <c r="U282"/>
      <c r="V282"/>
    </row>
    <row r="283" spans="1:24" ht="15" customHeight="1">
      <c r="A283"/>
      <c r="B283"/>
      <c r="C283"/>
      <c r="D283"/>
      <c r="F283"/>
      <c r="G283"/>
      <c r="I283" s="183"/>
      <c r="J283" s="180"/>
      <c r="L283" s="184"/>
      <c r="M283" s="183"/>
      <c r="N283" s="183"/>
      <c r="P283"/>
      <c r="Q283"/>
      <c r="R283"/>
      <c r="S283"/>
      <c r="T283"/>
      <c r="U283"/>
      <c r="V283"/>
    </row>
    <row r="284" spans="1:24" ht="15" customHeight="1">
      <c r="A284"/>
      <c r="B284"/>
      <c r="C284"/>
      <c r="D284"/>
      <c r="F284"/>
      <c r="G284"/>
      <c r="I284" s="181"/>
      <c r="J284" s="180"/>
      <c r="L284" s="169"/>
      <c r="M284" s="181"/>
      <c r="N284" s="181"/>
      <c r="P284"/>
      <c r="Q284"/>
      <c r="R284"/>
      <c r="S284"/>
      <c r="T284"/>
      <c r="U284"/>
      <c r="V284"/>
    </row>
    <row r="285" spans="1:24" ht="15" customHeight="1">
      <c r="A285"/>
      <c r="I285" s="184"/>
      <c r="J285" s="184"/>
      <c r="L285" s="182"/>
      <c r="M285" s="182"/>
      <c r="N285" s="182"/>
      <c r="P285"/>
      <c r="Q285"/>
      <c r="R285"/>
      <c r="S285"/>
      <c r="T285"/>
      <c r="U285"/>
      <c r="V285"/>
    </row>
    <row r="286" spans="1:24" ht="15" customHeight="1">
      <c r="A286" s="110"/>
      <c r="I286"/>
      <c r="J286"/>
      <c r="L286"/>
      <c r="M286"/>
      <c r="N286"/>
      <c r="P286"/>
      <c r="Q286"/>
      <c r="R286"/>
      <c r="S286"/>
      <c r="T286"/>
      <c r="U286"/>
      <c r="V286"/>
    </row>
    <row r="287" spans="1:24" ht="15" customHeight="1">
      <c r="A287"/>
      <c r="P287"/>
      <c r="Q287"/>
      <c r="R287"/>
      <c r="S287"/>
      <c r="T287"/>
      <c r="U287"/>
      <c r="V287"/>
    </row>
    <row r="288" spans="1:24" ht="15" customHeight="1">
      <c r="A288"/>
      <c r="P288"/>
      <c r="Q288"/>
      <c r="R288"/>
      <c r="S288"/>
      <c r="T288"/>
      <c r="U288"/>
    </row>
    <row r="289" spans="16:21" ht="15" customHeight="1">
      <c r="P289"/>
      <c r="Q289"/>
      <c r="R289" s="2"/>
      <c r="S289" s="2"/>
      <c r="T289" s="2"/>
      <c r="U289"/>
    </row>
    <row r="290" spans="16:21" ht="15" customHeight="1">
      <c r="P290"/>
      <c r="Q290"/>
      <c r="R290" s="2"/>
      <c r="S290" s="2"/>
      <c r="T290" s="2"/>
      <c r="U290"/>
    </row>
    <row r="291" spans="16:21" ht="15" customHeight="1">
      <c r="P291"/>
      <c r="Q291"/>
      <c r="R291" s="2"/>
      <c r="S291" s="2"/>
      <c r="T291" s="2"/>
      <c r="U291"/>
    </row>
    <row r="292" spans="16:21" ht="15" customHeight="1">
      <c r="P292"/>
      <c r="Q292"/>
      <c r="R292" s="2"/>
      <c r="S292" s="2"/>
      <c r="T292" s="2"/>
      <c r="U292"/>
    </row>
    <row r="293" spans="16:21" ht="15" customHeight="1">
      <c r="P293"/>
      <c r="Q293"/>
      <c r="R293" s="2"/>
      <c r="S293" s="2"/>
      <c r="T293" s="2"/>
      <c r="U293"/>
    </row>
    <row r="294" spans="16:21" ht="15" customHeight="1">
      <c r="P294"/>
      <c r="Q294"/>
      <c r="R294" s="2"/>
      <c r="S294" s="2"/>
      <c r="T294" s="2"/>
      <c r="U294"/>
    </row>
    <row r="295" spans="16:21" ht="15" customHeight="1">
      <c r="P295"/>
      <c r="Q295"/>
      <c r="R295" s="2"/>
      <c r="S295" s="2"/>
      <c r="T295" s="2"/>
      <c r="U295"/>
    </row>
    <row r="296" spans="16:21" ht="15" customHeight="1">
      <c r="Q296"/>
      <c r="R296" s="2"/>
      <c r="S296" s="2"/>
      <c r="T296" s="2"/>
      <c r="U296"/>
    </row>
    <row r="297" spans="16:21" ht="15" customHeight="1">
      <c r="Q297"/>
      <c r="R297" s="2"/>
      <c r="S297" s="2"/>
      <c r="T297" s="2"/>
    </row>
    <row r="310" spans="16:16" ht="15" customHeight="1">
      <c r="P310" s="9"/>
    </row>
    <row r="311" spans="16:16" ht="15" customHeight="1">
      <c r="P311" s="9"/>
    </row>
    <row r="312" spans="16:16" ht="15" customHeight="1">
      <c r="P312" s="9"/>
    </row>
    <row r="313" spans="16:16" ht="15" customHeight="1">
      <c r="P313" s="9"/>
    </row>
    <row r="314" spans="16:16" ht="15" customHeight="1">
      <c r="P314" s="9"/>
    </row>
    <row r="315" spans="16:16" ht="15" customHeight="1">
      <c r="P315" s="9"/>
    </row>
    <row r="316" spans="16:16" ht="15" customHeight="1">
      <c r="P316" s="9"/>
    </row>
    <row r="332" spans="17:18" ht="15" customHeight="1">
      <c r="Q332" s="28"/>
      <c r="R332" s="7"/>
    </row>
    <row r="333" spans="17:18" ht="15" customHeight="1">
      <c r="Q333" s="28"/>
      <c r="R333" s="7"/>
    </row>
    <row r="334" spans="17:18" ht="15" customHeight="1">
      <c r="Q334" s="28"/>
      <c r="R334" s="7"/>
    </row>
    <row r="335" spans="17:18" ht="15" customHeight="1">
      <c r="Q335" s="28"/>
      <c r="R335" s="7"/>
    </row>
    <row r="336" spans="17:18" ht="15" customHeight="1">
      <c r="Q336" s="28"/>
      <c r="R336" s="7"/>
    </row>
    <row r="337" spans="17:18" ht="15" customHeight="1">
      <c r="Q337" s="28"/>
      <c r="R337" s="7"/>
    </row>
    <row r="338" spans="17:18" ht="15" customHeight="1">
      <c r="Q338" s="28"/>
      <c r="R338" s="7"/>
    </row>
    <row r="349" spans="17:18" ht="15" customHeight="1">
      <c r="Q349" s="7"/>
      <c r="R349" s="7"/>
    </row>
    <row r="350" spans="17:18" ht="15" customHeight="1">
      <c r="Q350" s="7"/>
      <c r="R350" s="7"/>
    </row>
    <row r="351" spans="17:18" ht="15" customHeight="1">
      <c r="Q351" s="7"/>
      <c r="R351" s="7"/>
    </row>
    <row r="352" spans="17:18" ht="15" customHeight="1">
      <c r="Q352" s="7"/>
      <c r="R352" s="7"/>
    </row>
    <row r="353" s="7" customFormat="1" ht="15" customHeight="1"/>
    <row r="354" s="7" customFormat="1" ht="15" customHeight="1"/>
    <row r="355" s="7" customFormat="1" ht="15" customHeight="1"/>
    <row r="356" s="7" customFormat="1" ht="15" customHeight="1"/>
    <row r="357" s="7" customFormat="1" ht="15" customHeight="1"/>
    <row r="358" s="7" customFormat="1" ht="15" customHeight="1"/>
    <row r="359" s="7" customFormat="1" ht="15" customHeight="1"/>
    <row r="360" s="7" customFormat="1" ht="15" customHeight="1"/>
  </sheetData>
  <mergeCells count="1">
    <mergeCell ref="S262:T262"/>
  </mergeCells>
  <printOptions horizontalCentered="1"/>
  <pageMargins left="0" right="0" top="0.25" bottom="0.6" header="0.3" footer="0.3"/>
  <pageSetup scale="74" orientation="landscape" r:id="rId1"/>
  <rowBreaks count="3" manualBreakCount="3">
    <brk id="54" max="13" man="1"/>
    <brk id="104" max="13" man="1"/>
    <brk id="254"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P461"/>
  <sheetViews>
    <sheetView topLeftCell="C1" zoomScale="90" zoomScaleNormal="90" workbookViewId="0">
      <selection activeCell="G21" sqref="G21"/>
    </sheetView>
  </sheetViews>
  <sheetFormatPr defaultColWidth="9.140625" defaultRowHeight="12.75"/>
  <cols>
    <col min="1" max="1" width="19.85546875" style="7" customWidth="1"/>
    <col min="2" max="2" width="11.28515625" style="7" customWidth="1"/>
    <col min="3" max="5" width="9.140625" style="7"/>
    <col min="6" max="6" width="10.42578125" style="7" customWidth="1"/>
    <col min="7" max="7" width="13.7109375" style="7" customWidth="1"/>
    <col min="8" max="9" width="9.140625" style="7"/>
    <col min="10" max="10" width="11.85546875" style="7" customWidth="1"/>
    <col min="11" max="11" width="10.28515625" style="7" customWidth="1"/>
    <col min="12" max="12" width="11.7109375" style="7" customWidth="1"/>
    <col min="13" max="13" width="41.7109375" style="7" customWidth="1"/>
    <col min="14" max="14" width="12.42578125" style="7" customWidth="1"/>
    <col min="15" max="22" width="9.140625" style="7"/>
    <col min="23" max="23" width="44.28515625" style="7" bestFit="1" customWidth="1"/>
    <col min="24" max="24" width="9.140625" style="7"/>
    <col min="25" max="25" width="13.5703125" style="7" bestFit="1" customWidth="1"/>
    <col min="26" max="37" width="9.140625" style="7"/>
    <col min="38" max="38" width="12" style="7" customWidth="1"/>
    <col min="39" max="16384" width="9.140625" style="7"/>
  </cols>
  <sheetData>
    <row r="1" spans="1:42">
      <c r="A1" s="83" t="s">
        <v>6</v>
      </c>
      <c r="B1" s="7" t="s">
        <v>124</v>
      </c>
      <c r="E1" s="132" t="s">
        <v>518</v>
      </c>
      <c r="K1" s="58" t="s">
        <v>519</v>
      </c>
      <c r="O1" s="28"/>
      <c r="P1" s="28"/>
      <c r="Q1" s="28" t="s">
        <v>483</v>
      </c>
      <c r="R1" s="28"/>
      <c r="S1" s="28"/>
      <c r="T1" s="28"/>
      <c r="U1" s="28"/>
      <c r="W1" s="357" t="s">
        <v>484</v>
      </c>
      <c r="X1" s="357"/>
      <c r="Y1" s="357"/>
      <c r="Z1" s="357"/>
      <c r="AA1" s="357"/>
      <c r="AB1" s="357"/>
      <c r="AC1" s="357"/>
      <c r="AD1" s="357"/>
      <c r="AE1" s="357"/>
      <c r="AF1" s="203" t="s">
        <v>553</v>
      </c>
    </row>
    <row r="2" spans="1:42">
      <c r="A2" s="84" t="s">
        <v>220</v>
      </c>
      <c r="B2" s="7" t="s">
        <v>43</v>
      </c>
      <c r="E2" s="106">
        <f>(24+F2)+((F2-1)*20)</f>
        <v>25</v>
      </c>
      <c r="F2" s="106">
        <v>1</v>
      </c>
      <c r="G2" s="7" t="s">
        <v>517</v>
      </c>
      <c r="K2" s="58" t="s">
        <v>526</v>
      </c>
      <c r="O2" s="218" t="s">
        <v>14</v>
      </c>
      <c r="P2" s="28"/>
      <c r="Q2" s="28"/>
      <c r="R2" s="28"/>
      <c r="S2" s="28"/>
      <c r="T2" s="28"/>
      <c r="U2" s="28"/>
      <c r="W2" s="380" t="s">
        <v>407</v>
      </c>
      <c r="X2" s="120" t="s">
        <v>408</v>
      </c>
      <c r="Y2" s="377" t="s">
        <v>64</v>
      </c>
      <c r="Z2" s="379" t="s">
        <v>409</v>
      </c>
      <c r="AA2" s="378" t="s">
        <v>409</v>
      </c>
      <c r="AB2" s="377" t="s">
        <v>410</v>
      </c>
      <c r="AC2" s="378"/>
      <c r="AD2" s="377" t="s">
        <v>411</v>
      </c>
      <c r="AE2" s="379"/>
      <c r="AG2" s="204" t="s">
        <v>484</v>
      </c>
    </row>
    <row r="3" spans="1:42">
      <c r="A3" s="84" t="s">
        <v>222</v>
      </c>
      <c r="B3" s="7" t="s">
        <v>20</v>
      </c>
      <c r="M3" s="381" t="s">
        <v>407</v>
      </c>
      <c r="N3" s="120" t="s">
        <v>408</v>
      </c>
      <c r="O3" s="377" t="s">
        <v>64</v>
      </c>
      <c r="P3" s="379" t="s">
        <v>409</v>
      </c>
      <c r="Q3" s="378" t="s">
        <v>409</v>
      </c>
      <c r="R3" s="377" t="s">
        <v>410</v>
      </c>
      <c r="S3" s="378"/>
      <c r="T3" s="379" t="s">
        <v>411</v>
      </c>
      <c r="U3" s="379"/>
      <c r="W3" s="380"/>
      <c r="X3" s="121" t="s">
        <v>412</v>
      </c>
      <c r="Y3" s="230">
        <v>45536</v>
      </c>
      <c r="Z3" s="231">
        <v>45505</v>
      </c>
      <c r="AA3" s="232">
        <v>45170</v>
      </c>
      <c r="AB3" s="123" t="s">
        <v>413</v>
      </c>
      <c r="AC3" s="124" t="s">
        <v>414</v>
      </c>
      <c r="AD3" s="125" t="s">
        <v>413</v>
      </c>
      <c r="AE3" s="125" t="s">
        <v>414</v>
      </c>
      <c r="AG3" s="204" t="s">
        <v>486</v>
      </c>
    </row>
    <row r="4" spans="1:42">
      <c r="A4" s="84" t="s">
        <v>223</v>
      </c>
      <c r="B4" s="7" t="s">
        <v>25</v>
      </c>
      <c r="F4" s="7" t="s">
        <v>135</v>
      </c>
      <c r="M4" s="381"/>
      <c r="N4" s="121" t="s">
        <v>412</v>
      </c>
      <c r="O4" s="319">
        <v>45536</v>
      </c>
      <c r="P4" s="320">
        <v>45505</v>
      </c>
      <c r="Q4" s="321">
        <v>45170</v>
      </c>
      <c r="R4" s="322" t="s">
        <v>413</v>
      </c>
      <c r="S4" s="323" t="s">
        <v>414</v>
      </c>
      <c r="T4" s="324" t="s">
        <v>413</v>
      </c>
      <c r="U4" s="324" t="s">
        <v>414</v>
      </c>
      <c r="W4" s="219" t="s">
        <v>415</v>
      </c>
      <c r="X4" s="220" t="s">
        <v>6</v>
      </c>
      <c r="Y4" s="233">
        <v>53100</v>
      </c>
      <c r="Z4" s="233">
        <v>51700</v>
      </c>
      <c r="AA4" s="233">
        <v>52700</v>
      </c>
      <c r="AB4" s="221">
        <v>1400</v>
      </c>
      <c r="AC4" s="222">
        <v>2.7099999999999999E-2</v>
      </c>
      <c r="AD4" s="221">
        <v>400</v>
      </c>
      <c r="AE4" s="222">
        <v>7.6E-3</v>
      </c>
      <c r="AG4" s="204" t="s">
        <v>487</v>
      </c>
    </row>
    <row r="5" spans="1:42">
      <c r="A5" s="84" t="s">
        <v>229</v>
      </c>
      <c r="B5" s="7" t="s">
        <v>230</v>
      </c>
      <c r="F5" s="7" t="s">
        <v>136</v>
      </c>
      <c r="M5" s="219" t="s">
        <v>415</v>
      </c>
      <c r="N5" s="220" t="s">
        <v>6</v>
      </c>
      <c r="O5" s="326">
        <v>717200</v>
      </c>
      <c r="P5" s="326">
        <v>715900</v>
      </c>
      <c r="Q5" s="326">
        <v>703700</v>
      </c>
      <c r="R5" s="326">
        <v>1300</v>
      </c>
      <c r="S5" s="327">
        <v>1.8E-3</v>
      </c>
      <c r="T5" s="326">
        <v>13500</v>
      </c>
      <c r="U5" s="327">
        <v>1.9199999999999998E-2</v>
      </c>
      <c r="W5" s="219" t="s">
        <v>43</v>
      </c>
      <c r="X5" s="220" t="s">
        <v>220</v>
      </c>
      <c r="Y5" s="233">
        <v>40600</v>
      </c>
      <c r="Z5" s="233">
        <v>41400</v>
      </c>
      <c r="AA5" s="233">
        <v>40300</v>
      </c>
      <c r="AB5" s="221">
        <v>-800</v>
      </c>
      <c r="AC5" s="222">
        <v>-1.9300000000000001E-2</v>
      </c>
      <c r="AD5" s="221">
        <v>300</v>
      </c>
      <c r="AE5" s="222">
        <v>7.4000000000000003E-3</v>
      </c>
      <c r="AG5" s="204" t="s">
        <v>488</v>
      </c>
    </row>
    <row r="6" spans="1:42">
      <c r="A6" s="84">
        <v>15000000</v>
      </c>
      <c r="B6" s="7" t="s">
        <v>132</v>
      </c>
      <c r="F6" s="7" t="s">
        <v>514</v>
      </c>
      <c r="M6" s="219" t="s">
        <v>43</v>
      </c>
      <c r="N6" s="220" t="s">
        <v>220</v>
      </c>
      <c r="O6" s="326">
        <v>625800</v>
      </c>
      <c r="P6" s="326">
        <v>635000</v>
      </c>
      <c r="Q6" s="326">
        <v>615300</v>
      </c>
      <c r="R6" s="326">
        <v>-9200</v>
      </c>
      <c r="S6" s="327">
        <v>-1.4500000000000001E-2</v>
      </c>
      <c r="T6" s="326">
        <v>10500</v>
      </c>
      <c r="U6" s="327">
        <v>1.7100000000000001E-2</v>
      </c>
      <c r="W6" s="219" t="s">
        <v>416</v>
      </c>
      <c r="X6" s="220" t="s">
        <v>222</v>
      </c>
      <c r="Y6" s="233">
        <v>7300</v>
      </c>
      <c r="Z6" s="233">
        <v>7300</v>
      </c>
      <c r="AA6" s="233">
        <v>7300</v>
      </c>
      <c r="AB6" s="221">
        <v>0</v>
      </c>
      <c r="AC6" s="222">
        <v>0</v>
      </c>
      <c r="AD6" s="221">
        <v>0</v>
      </c>
      <c r="AE6" s="222">
        <v>0</v>
      </c>
    </row>
    <row r="7" spans="1:42">
      <c r="A7" s="84" t="s">
        <v>231</v>
      </c>
      <c r="B7" s="7" t="s">
        <v>219</v>
      </c>
      <c r="F7" s="7" t="s">
        <v>137</v>
      </c>
      <c r="M7" s="219" t="s">
        <v>416</v>
      </c>
      <c r="N7" s="220" t="s">
        <v>222</v>
      </c>
      <c r="O7" s="326">
        <v>104100</v>
      </c>
      <c r="P7" s="326">
        <v>104500</v>
      </c>
      <c r="Q7" s="326">
        <v>103700</v>
      </c>
      <c r="R7" s="326">
        <v>-400</v>
      </c>
      <c r="S7" s="327">
        <v>-3.8E-3</v>
      </c>
      <c r="T7" s="326">
        <v>400</v>
      </c>
      <c r="U7" s="327">
        <v>3.8999999999999998E-3</v>
      </c>
      <c r="W7" s="219" t="s">
        <v>417</v>
      </c>
      <c r="X7" s="220" t="s">
        <v>223</v>
      </c>
      <c r="Y7" s="233">
        <v>45800</v>
      </c>
      <c r="Z7" s="233">
        <v>44400</v>
      </c>
      <c r="AA7" s="233">
        <v>45400</v>
      </c>
      <c r="AB7" s="221">
        <v>1400</v>
      </c>
      <c r="AC7" s="222">
        <v>3.15E-2</v>
      </c>
      <c r="AD7" s="221">
        <v>400</v>
      </c>
      <c r="AE7" s="222">
        <v>8.8000000000000005E-3</v>
      </c>
      <c r="AI7" s="83"/>
      <c r="AJ7" s="83"/>
      <c r="AK7" s="83"/>
      <c r="AL7" s="83"/>
      <c r="AM7" s="83"/>
      <c r="AN7" s="83"/>
      <c r="AO7" s="83"/>
      <c r="AP7" s="83"/>
    </row>
    <row r="8" spans="1:42">
      <c r="A8" s="83">
        <v>20000000</v>
      </c>
      <c r="B8" s="7" t="s">
        <v>23</v>
      </c>
      <c r="F8" s="7" t="s">
        <v>139</v>
      </c>
      <c r="M8" s="219" t="s">
        <v>417</v>
      </c>
      <c r="N8" s="220" t="s">
        <v>223</v>
      </c>
      <c r="O8" s="326">
        <v>613100</v>
      </c>
      <c r="P8" s="326">
        <v>611400</v>
      </c>
      <c r="Q8" s="326">
        <v>600000</v>
      </c>
      <c r="R8" s="326">
        <v>1700</v>
      </c>
      <c r="S8" s="327">
        <v>2.8E-3</v>
      </c>
      <c r="T8" s="326">
        <v>13100</v>
      </c>
      <c r="U8" s="327">
        <v>2.18E-2</v>
      </c>
      <c r="W8" s="219" t="s">
        <v>418</v>
      </c>
      <c r="X8" s="220" t="s">
        <v>229</v>
      </c>
      <c r="Y8" s="233">
        <v>33300</v>
      </c>
      <c r="Z8" s="233">
        <v>34100</v>
      </c>
      <c r="AA8" s="233">
        <v>33000</v>
      </c>
      <c r="AB8" s="221">
        <v>-800</v>
      </c>
      <c r="AC8" s="222">
        <v>-2.35E-2</v>
      </c>
      <c r="AD8" s="221">
        <v>300</v>
      </c>
      <c r="AE8" s="222">
        <v>9.1000000000000004E-3</v>
      </c>
      <c r="AI8" s="83"/>
      <c r="AJ8" s="83"/>
      <c r="AK8" s="83"/>
      <c r="AL8" s="83"/>
      <c r="AM8" s="83"/>
      <c r="AN8" s="83"/>
      <c r="AO8" s="83"/>
      <c r="AP8" s="83"/>
    </row>
    <row r="9" spans="1:42">
      <c r="A9" s="83" t="s">
        <v>7</v>
      </c>
      <c r="B9" s="7" t="s">
        <v>125</v>
      </c>
      <c r="F9" s="7" t="s">
        <v>117</v>
      </c>
      <c r="M9" s="219" t="s">
        <v>418</v>
      </c>
      <c r="N9" s="220" t="s">
        <v>229</v>
      </c>
      <c r="O9" s="326">
        <v>521700</v>
      </c>
      <c r="P9" s="326">
        <v>530500</v>
      </c>
      <c r="Q9" s="326">
        <v>511600</v>
      </c>
      <c r="R9" s="326">
        <v>-8800</v>
      </c>
      <c r="S9" s="327">
        <v>-1.66E-2</v>
      </c>
      <c r="T9" s="326">
        <v>10100</v>
      </c>
      <c r="U9" s="327">
        <v>1.9699999999999999E-2</v>
      </c>
      <c r="W9" s="219" t="s">
        <v>485</v>
      </c>
      <c r="X9" s="220" t="s">
        <v>315</v>
      </c>
      <c r="Y9" s="233">
        <v>2200</v>
      </c>
      <c r="Z9" s="233">
        <v>2200</v>
      </c>
      <c r="AA9" s="233">
        <v>2200</v>
      </c>
      <c r="AB9" s="221">
        <v>0</v>
      </c>
      <c r="AC9" s="222">
        <v>0</v>
      </c>
      <c r="AD9" s="221">
        <v>0</v>
      </c>
      <c r="AE9" s="222">
        <v>0</v>
      </c>
      <c r="AI9" s="83"/>
      <c r="AJ9" s="83"/>
      <c r="AK9" s="83"/>
      <c r="AL9" s="83"/>
      <c r="AM9" s="83"/>
      <c r="AN9" s="83"/>
      <c r="AO9" s="83"/>
      <c r="AP9" s="83"/>
    </row>
    <row r="10" spans="1:42">
      <c r="A10" s="83">
        <v>40000000</v>
      </c>
      <c r="B10" s="7" t="s">
        <v>232</v>
      </c>
      <c r="F10" s="7" t="s">
        <v>515</v>
      </c>
      <c r="M10" s="219" t="s">
        <v>485</v>
      </c>
      <c r="N10" s="220" t="s">
        <v>315</v>
      </c>
      <c r="O10" s="326">
        <v>33800</v>
      </c>
      <c r="P10" s="326">
        <v>34300</v>
      </c>
      <c r="Q10" s="326">
        <v>33200</v>
      </c>
      <c r="R10" s="326">
        <v>-500</v>
      </c>
      <c r="S10" s="327">
        <v>-1.46E-2</v>
      </c>
      <c r="T10" s="326">
        <v>600</v>
      </c>
      <c r="U10" s="327">
        <v>1.8100000000000002E-2</v>
      </c>
      <c r="W10" s="219" t="s">
        <v>24</v>
      </c>
      <c r="X10" s="220" t="s">
        <v>7</v>
      </c>
      <c r="Y10" s="233">
        <v>5100</v>
      </c>
      <c r="Z10" s="233">
        <v>5100</v>
      </c>
      <c r="AA10" s="233">
        <v>5100</v>
      </c>
      <c r="AB10" s="221">
        <v>0</v>
      </c>
      <c r="AC10" s="222">
        <v>0</v>
      </c>
      <c r="AD10" s="221">
        <v>0</v>
      </c>
      <c r="AE10" s="222">
        <v>0</v>
      </c>
      <c r="AI10" s="83"/>
      <c r="AJ10" s="83"/>
      <c r="AK10" s="83"/>
      <c r="AL10" s="83"/>
      <c r="AM10" s="83"/>
      <c r="AN10" s="83"/>
      <c r="AO10" s="83"/>
      <c r="AP10" s="83"/>
    </row>
    <row r="11" spans="1:42">
      <c r="A11" s="83" t="s">
        <v>12</v>
      </c>
      <c r="B11" s="7" t="s">
        <v>126</v>
      </c>
      <c r="F11" s="7" t="s">
        <v>138</v>
      </c>
      <c r="M11" s="223" t="s">
        <v>219</v>
      </c>
      <c r="N11" s="220" t="s">
        <v>231</v>
      </c>
      <c r="O11" s="326">
        <v>900</v>
      </c>
      <c r="P11" s="326">
        <v>900</v>
      </c>
      <c r="Q11" s="326">
        <v>900</v>
      </c>
      <c r="R11" s="326">
        <v>0</v>
      </c>
      <c r="S11" s="327">
        <v>0</v>
      </c>
      <c r="T11" s="326">
        <v>0</v>
      </c>
      <c r="U11" s="327">
        <v>0</v>
      </c>
      <c r="W11" s="219" t="s">
        <v>232</v>
      </c>
      <c r="X11" s="220" t="s">
        <v>310</v>
      </c>
      <c r="Y11" s="233">
        <v>9400</v>
      </c>
      <c r="Z11" s="233">
        <v>9600</v>
      </c>
      <c r="AA11" s="233">
        <v>9400</v>
      </c>
      <c r="AB11" s="221">
        <v>-200</v>
      </c>
      <c r="AC11" s="222">
        <v>-2.0799999999999999E-2</v>
      </c>
      <c r="AD11" s="221">
        <v>0</v>
      </c>
      <c r="AE11" s="222">
        <v>0</v>
      </c>
    </row>
    <row r="12" spans="1:42">
      <c r="A12" s="83" t="s">
        <v>8</v>
      </c>
      <c r="B12" s="7" t="s">
        <v>127</v>
      </c>
      <c r="M12" s="223" t="s">
        <v>23</v>
      </c>
      <c r="N12" s="220" t="s">
        <v>309</v>
      </c>
      <c r="O12" s="326">
        <v>32900</v>
      </c>
      <c r="P12" s="326">
        <v>33400</v>
      </c>
      <c r="Q12" s="326">
        <v>32300</v>
      </c>
      <c r="R12" s="326">
        <v>-500</v>
      </c>
      <c r="S12" s="327">
        <v>-1.4999999999999999E-2</v>
      </c>
      <c r="T12" s="326">
        <v>600</v>
      </c>
      <c r="U12" s="327">
        <v>1.8599999999999998E-2</v>
      </c>
      <c r="W12" s="223" t="s">
        <v>27</v>
      </c>
      <c r="X12" s="220" t="s">
        <v>12</v>
      </c>
      <c r="Y12" s="233">
        <v>1400</v>
      </c>
      <c r="Z12" s="233">
        <v>1400</v>
      </c>
      <c r="AA12" s="233">
        <v>1400</v>
      </c>
      <c r="AB12" s="221">
        <v>0</v>
      </c>
      <c r="AC12" s="222">
        <v>0</v>
      </c>
      <c r="AD12" s="221">
        <v>0</v>
      </c>
      <c r="AE12" s="222">
        <v>0</v>
      </c>
    </row>
    <row r="13" spans="1:42">
      <c r="A13" s="83" t="s">
        <v>13</v>
      </c>
      <c r="B13" s="7" t="s">
        <v>134</v>
      </c>
      <c r="M13" s="224" t="s">
        <v>419</v>
      </c>
      <c r="N13" s="220" t="s">
        <v>420</v>
      </c>
      <c r="O13" s="326">
        <v>6900</v>
      </c>
      <c r="P13" s="326">
        <v>7100</v>
      </c>
      <c r="Q13" s="326">
        <v>6900</v>
      </c>
      <c r="R13" s="326">
        <v>-200</v>
      </c>
      <c r="S13" s="327">
        <v>-2.8199999999999999E-2</v>
      </c>
      <c r="T13" s="326">
        <v>0</v>
      </c>
      <c r="U13" s="327">
        <v>0</v>
      </c>
      <c r="W13" s="223" t="s">
        <v>28</v>
      </c>
      <c r="X13" s="220" t="s">
        <v>8</v>
      </c>
      <c r="Y13" s="233">
        <v>7100</v>
      </c>
      <c r="Z13" s="233">
        <v>7300</v>
      </c>
      <c r="AA13" s="233">
        <v>7100</v>
      </c>
      <c r="AB13" s="221">
        <v>-200</v>
      </c>
      <c r="AC13" s="222">
        <v>-2.7400000000000001E-2</v>
      </c>
      <c r="AD13" s="221">
        <v>0</v>
      </c>
      <c r="AE13" s="222">
        <v>0</v>
      </c>
    </row>
    <row r="14" spans="1:42">
      <c r="A14" s="83">
        <v>50000000</v>
      </c>
      <c r="B14" s="7" t="s">
        <v>30</v>
      </c>
      <c r="M14" s="224" t="s">
        <v>421</v>
      </c>
      <c r="N14" s="220" t="s">
        <v>422</v>
      </c>
      <c r="O14" s="326">
        <v>21700</v>
      </c>
      <c r="P14" s="326">
        <v>22000</v>
      </c>
      <c r="Q14" s="326">
        <v>21500</v>
      </c>
      <c r="R14" s="326">
        <v>-300</v>
      </c>
      <c r="S14" s="327">
        <v>-1.3599999999999999E-2</v>
      </c>
      <c r="T14" s="326">
        <v>200</v>
      </c>
      <c r="U14" s="327">
        <v>9.2999999999999992E-3</v>
      </c>
      <c r="W14" s="223" t="s">
        <v>436</v>
      </c>
      <c r="X14" s="220" t="s">
        <v>13</v>
      </c>
      <c r="Y14" s="233">
        <v>900</v>
      </c>
      <c r="Z14" s="233">
        <v>900</v>
      </c>
      <c r="AA14" s="233">
        <v>900</v>
      </c>
      <c r="AB14" s="221">
        <v>0</v>
      </c>
      <c r="AC14" s="222">
        <v>0</v>
      </c>
      <c r="AD14" s="221">
        <v>0</v>
      </c>
      <c r="AE14" s="222">
        <v>0</v>
      </c>
    </row>
    <row r="15" spans="1:42">
      <c r="A15" s="83">
        <v>55000000</v>
      </c>
      <c r="B15" s="7" t="s">
        <v>221</v>
      </c>
      <c r="G15" s="168">
        <f>C24</f>
        <v>45536</v>
      </c>
      <c r="H15" s="315" t="s">
        <v>234</v>
      </c>
      <c r="I15" s="315"/>
      <c r="M15" s="219" t="s">
        <v>24</v>
      </c>
      <c r="N15" s="220" t="s">
        <v>7</v>
      </c>
      <c r="O15" s="326">
        <v>70300</v>
      </c>
      <c r="P15" s="326">
        <v>70200</v>
      </c>
      <c r="Q15" s="326">
        <v>70500</v>
      </c>
      <c r="R15" s="326">
        <v>100</v>
      </c>
      <c r="S15" s="327">
        <v>1.4E-3</v>
      </c>
      <c r="T15" s="326">
        <v>-200</v>
      </c>
      <c r="U15" s="327">
        <v>-2.8E-3</v>
      </c>
      <c r="W15" s="219" t="s">
        <v>30</v>
      </c>
      <c r="X15" s="220" t="s">
        <v>311</v>
      </c>
      <c r="Y15" s="233">
        <v>600</v>
      </c>
      <c r="Z15" s="233">
        <v>600</v>
      </c>
      <c r="AA15" s="233">
        <v>600</v>
      </c>
      <c r="AB15" s="221">
        <v>0</v>
      </c>
      <c r="AC15" s="222">
        <v>0</v>
      </c>
      <c r="AD15" s="221">
        <v>0</v>
      </c>
      <c r="AE15" s="222">
        <v>0</v>
      </c>
    </row>
    <row r="16" spans="1:42">
      <c r="A16" s="83">
        <v>60000000</v>
      </c>
      <c r="B16" s="7" t="s">
        <v>129</v>
      </c>
      <c r="G16" s="168">
        <f>D24</f>
        <v>45505</v>
      </c>
      <c r="H16" s="315" t="s">
        <v>562</v>
      </c>
      <c r="I16" s="315"/>
      <c r="M16" s="225" t="s">
        <v>423</v>
      </c>
      <c r="N16" s="220" t="s">
        <v>424</v>
      </c>
      <c r="O16" s="326">
        <v>52500</v>
      </c>
      <c r="P16" s="326">
        <v>52300</v>
      </c>
      <c r="Q16" s="326">
        <v>52400</v>
      </c>
      <c r="R16" s="326">
        <v>200</v>
      </c>
      <c r="S16" s="327">
        <v>3.8E-3</v>
      </c>
      <c r="T16" s="326">
        <v>100</v>
      </c>
      <c r="U16" s="327">
        <v>1.9E-3</v>
      </c>
      <c r="W16" s="219" t="s">
        <v>221</v>
      </c>
      <c r="X16" s="220" t="s">
        <v>312</v>
      </c>
      <c r="Y16" s="233">
        <v>2100</v>
      </c>
      <c r="Z16" s="233">
        <v>2100</v>
      </c>
      <c r="AA16" s="233">
        <v>2100</v>
      </c>
      <c r="AB16" s="221">
        <v>0</v>
      </c>
      <c r="AC16" s="222">
        <v>0</v>
      </c>
      <c r="AD16" s="221">
        <v>0</v>
      </c>
      <c r="AE16" s="222">
        <v>0</v>
      </c>
    </row>
    <row r="17" spans="1:31">
      <c r="A17" s="83">
        <v>65000000</v>
      </c>
      <c r="B17" s="7" t="s">
        <v>133</v>
      </c>
      <c r="G17" s="168">
        <f>E24</f>
        <v>45170</v>
      </c>
      <c r="H17" s="315" t="s">
        <v>563</v>
      </c>
      <c r="I17" s="315"/>
      <c r="M17" s="224" t="s">
        <v>425</v>
      </c>
      <c r="N17" s="220" t="s">
        <v>426</v>
      </c>
      <c r="O17" s="326">
        <v>16000</v>
      </c>
      <c r="P17" s="326">
        <v>16000</v>
      </c>
      <c r="Q17" s="326">
        <v>16100</v>
      </c>
      <c r="R17" s="326">
        <v>0</v>
      </c>
      <c r="S17" s="327">
        <v>0</v>
      </c>
      <c r="T17" s="326">
        <v>-100</v>
      </c>
      <c r="U17" s="327">
        <v>-6.1999999999999998E-3</v>
      </c>
      <c r="W17" s="219" t="s">
        <v>443</v>
      </c>
      <c r="X17" s="220" t="s">
        <v>313</v>
      </c>
      <c r="Y17" s="233">
        <v>4400</v>
      </c>
      <c r="Z17" s="233">
        <v>4500</v>
      </c>
      <c r="AA17" s="233">
        <v>4400</v>
      </c>
      <c r="AB17" s="221">
        <v>-100</v>
      </c>
      <c r="AC17" s="222">
        <v>-2.2200000000000001E-2</v>
      </c>
      <c r="AD17" s="221">
        <v>0</v>
      </c>
      <c r="AE17" s="222">
        <v>0</v>
      </c>
    </row>
    <row r="18" spans="1:31">
      <c r="A18" s="83" t="s">
        <v>9</v>
      </c>
      <c r="B18" s="7" t="s">
        <v>128</v>
      </c>
      <c r="M18" s="226" t="s">
        <v>427</v>
      </c>
      <c r="N18" s="220" t="s">
        <v>428</v>
      </c>
      <c r="O18" s="326">
        <v>9000</v>
      </c>
      <c r="P18" s="326">
        <v>9000</v>
      </c>
      <c r="Q18" s="326">
        <v>9000</v>
      </c>
      <c r="R18" s="326">
        <v>0</v>
      </c>
      <c r="S18" s="327">
        <v>0</v>
      </c>
      <c r="T18" s="326">
        <v>0</v>
      </c>
      <c r="U18" s="327">
        <v>0</v>
      </c>
      <c r="W18" s="219" t="s">
        <v>572</v>
      </c>
      <c r="X18" s="220" t="s">
        <v>314</v>
      </c>
      <c r="Y18" s="233">
        <v>9000</v>
      </c>
      <c r="Z18" s="233">
        <v>8900</v>
      </c>
      <c r="AA18" s="233">
        <v>8600</v>
      </c>
      <c r="AB18" s="221">
        <v>100</v>
      </c>
      <c r="AC18" s="222">
        <v>1.12E-2</v>
      </c>
      <c r="AD18" s="221">
        <v>400</v>
      </c>
      <c r="AE18" s="222">
        <v>4.65E-2</v>
      </c>
    </row>
    <row r="19" spans="1:31">
      <c r="A19" s="83" t="s">
        <v>10</v>
      </c>
      <c r="B19" s="7" t="s">
        <v>130</v>
      </c>
      <c r="F19" s="208" t="s">
        <v>255</v>
      </c>
      <c r="G19" s="385">
        <v>45581</v>
      </c>
      <c r="H19" s="386"/>
      <c r="I19" s="85"/>
      <c r="M19" s="225" t="s">
        <v>429</v>
      </c>
      <c r="N19" s="220" t="s">
        <v>430</v>
      </c>
      <c r="O19" s="326">
        <v>17800</v>
      </c>
      <c r="P19" s="326">
        <v>17900</v>
      </c>
      <c r="Q19" s="326">
        <v>18100</v>
      </c>
      <c r="R19" s="326">
        <v>-100</v>
      </c>
      <c r="S19" s="327">
        <v>-5.5999999999999999E-3</v>
      </c>
      <c r="T19" s="326">
        <v>-300</v>
      </c>
      <c r="U19" s="327">
        <v>-1.66E-2</v>
      </c>
      <c r="W19" s="219" t="s">
        <v>457</v>
      </c>
      <c r="X19" s="220" t="s">
        <v>9</v>
      </c>
      <c r="Y19" s="233">
        <v>5800</v>
      </c>
      <c r="Z19" s="233">
        <v>6300</v>
      </c>
      <c r="AA19" s="233">
        <v>5800</v>
      </c>
      <c r="AB19" s="221">
        <v>-500</v>
      </c>
      <c r="AC19" s="222">
        <v>-7.9399999999999998E-2</v>
      </c>
      <c r="AD19" s="221">
        <v>0</v>
      </c>
      <c r="AE19" s="222">
        <v>0</v>
      </c>
    </row>
    <row r="20" spans="1:31">
      <c r="A20" s="83" t="s">
        <v>11</v>
      </c>
      <c r="B20" s="7" t="s">
        <v>131</v>
      </c>
      <c r="F20" s="209" t="s">
        <v>254</v>
      </c>
      <c r="G20" s="383">
        <v>45536</v>
      </c>
      <c r="H20" s="384"/>
      <c r="I20" s="85"/>
      <c r="M20" s="219" t="s">
        <v>232</v>
      </c>
      <c r="N20" s="220" t="s">
        <v>310</v>
      </c>
      <c r="O20" s="326">
        <v>139100</v>
      </c>
      <c r="P20" s="326">
        <v>140800</v>
      </c>
      <c r="Q20" s="326">
        <v>139300</v>
      </c>
      <c r="R20" s="326">
        <v>-1700</v>
      </c>
      <c r="S20" s="327">
        <v>-1.21E-2</v>
      </c>
      <c r="T20" s="326">
        <v>-200</v>
      </c>
      <c r="U20" s="327">
        <v>-1.4E-3</v>
      </c>
      <c r="W20" s="219" t="s">
        <v>469</v>
      </c>
      <c r="X20" s="220" t="s">
        <v>10</v>
      </c>
      <c r="Y20" s="233">
        <v>2000</v>
      </c>
      <c r="Z20" s="233">
        <v>2100</v>
      </c>
      <c r="AA20" s="233">
        <v>2100</v>
      </c>
      <c r="AB20" s="221">
        <v>-100</v>
      </c>
      <c r="AC20" s="222">
        <v>-4.7600000000000003E-2</v>
      </c>
      <c r="AD20" s="221">
        <v>-100</v>
      </c>
      <c r="AE20" s="222">
        <v>-4.7600000000000003E-2</v>
      </c>
    </row>
    <row r="21" spans="1:31">
      <c r="M21" s="225" t="s">
        <v>27</v>
      </c>
      <c r="N21" s="220" t="s">
        <v>12</v>
      </c>
      <c r="O21" s="326">
        <v>31000</v>
      </c>
      <c r="P21" s="326">
        <v>31300</v>
      </c>
      <c r="Q21" s="326">
        <v>31300</v>
      </c>
      <c r="R21" s="326">
        <v>-300</v>
      </c>
      <c r="S21" s="327">
        <v>-9.5999999999999992E-3</v>
      </c>
      <c r="T21" s="326">
        <v>-300</v>
      </c>
      <c r="U21" s="327">
        <v>-9.5999999999999992E-3</v>
      </c>
      <c r="W21" s="219" t="s">
        <v>172</v>
      </c>
      <c r="X21" s="220" t="s">
        <v>11</v>
      </c>
      <c r="Y21" s="233">
        <v>12500</v>
      </c>
      <c r="Z21" s="233">
        <v>10300</v>
      </c>
      <c r="AA21" s="233">
        <v>12400</v>
      </c>
      <c r="AB21" s="221">
        <v>2200</v>
      </c>
      <c r="AC21" s="222">
        <v>0.21360000000000001</v>
      </c>
      <c r="AD21" s="221">
        <v>100</v>
      </c>
      <c r="AE21" s="222">
        <v>8.0999999999999996E-3</v>
      </c>
    </row>
    <row r="22" spans="1:31">
      <c r="A22" s="131" t="s">
        <v>516</v>
      </c>
      <c r="M22" s="224" t="s">
        <v>431</v>
      </c>
      <c r="N22" s="220" t="s">
        <v>432</v>
      </c>
      <c r="O22" s="326">
        <v>16100</v>
      </c>
      <c r="P22" s="326">
        <v>16200</v>
      </c>
      <c r="Q22" s="326">
        <v>16000</v>
      </c>
      <c r="R22" s="326">
        <v>-100</v>
      </c>
      <c r="S22" s="327">
        <v>-6.1999999999999998E-3</v>
      </c>
      <c r="T22" s="326">
        <v>100</v>
      </c>
      <c r="U22" s="327">
        <v>6.3E-3</v>
      </c>
      <c r="W22" s="223" t="s">
        <v>45</v>
      </c>
      <c r="X22" s="220" t="s">
        <v>470</v>
      </c>
      <c r="Y22" s="233">
        <v>400</v>
      </c>
      <c r="Z22" s="233">
        <v>400</v>
      </c>
      <c r="AA22" s="233">
        <v>400</v>
      </c>
      <c r="AB22" s="221">
        <v>0</v>
      </c>
      <c r="AC22" s="222">
        <v>0</v>
      </c>
      <c r="AD22" s="221">
        <v>0</v>
      </c>
      <c r="AE22" s="222">
        <v>0</v>
      </c>
    </row>
    <row r="23" spans="1:31">
      <c r="A23" s="381" t="s">
        <v>407</v>
      </c>
      <c r="B23" s="120" t="s">
        <v>408</v>
      </c>
      <c r="C23" s="377" t="s">
        <v>64</v>
      </c>
      <c r="D23" s="379" t="s">
        <v>409</v>
      </c>
      <c r="E23" s="378" t="s">
        <v>409</v>
      </c>
      <c r="F23" s="377" t="s">
        <v>410</v>
      </c>
      <c r="G23" s="378"/>
      <c r="H23" s="379" t="s">
        <v>411</v>
      </c>
      <c r="I23" s="379"/>
      <c r="M23" s="224" t="s">
        <v>573</v>
      </c>
      <c r="N23" s="220" t="s">
        <v>433</v>
      </c>
      <c r="O23" s="326">
        <v>6200</v>
      </c>
      <c r="P23" s="326">
        <v>6300</v>
      </c>
      <c r="Q23" s="326">
        <v>6400</v>
      </c>
      <c r="R23" s="326">
        <v>-100</v>
      </c>
      <c r="S23" s="327">
        <v>-1.5900000000000001E-2</v>
      </c>
      <c r="T23" s="326">
        <v>-200</v>
      </c>
      <c r="U23" s="327">
        <v>-3.1300000000000001E-2</v>
      </c>
      <c r="W23" s="223" t="s">
        <v>46</v>
      </c>
      <c r="X23" s="220" t="s">
        <v>473</v>
      </c>
      <c r="Y23" s="233">
        <v>6300</v>
      </c>
      <c r="Z23" s="233">
        <v>4800</v>
      </c>
      <c r="AA23" s="233">
        <v>6400</v>
      </c>
      <c r="AB23" s="221">
        <v>1500</v>
      </c>
      <c r="AC23" s="222">
        <v>0.3125</v>
      </c>
      <c r="AD23" s="221">
        <v>-100</v>
      </c>
      <c r="AE23" s="222">
        <v>-1.5599999999999999E-2</v>
      </c>
    </row>
    <row r="24" spans="1:31">
      <c r="A24" s="381"/>
      <c r="B24" s="121" t="s">
        <v>412</v>
      </c>
      <c r="C24" s="122">
        <f>O4</f>
        <v>45536</v>
      </c>
      <c r="D24" s="122">
        <f t="shared" ref="D24:E24" si="0">P4</f>
        <v>45505</v>
      </c>
      <c r="E24" s="122">
        <f t="shared" si="0"/>
        <v>45170</v>
      </c>
      <c r="F24" s="123" t="s">
        <v>413</v>
      </c>
      <c r="G24" s="124" t="s">
        <v>414</v>
      </c>
      <c r="H24" s="125" t="s">
        <v>413</v>
      </c>
      <c r="I24" s="125" t="s">
        <v>414</v>
      </c>
      <c r="M24" s="225" t="s">
        <v>28</v>
      </c>
      <c r="N24" s="220" t="s">
        <v>8</v>
      </c>
      <c r="O24" s="326">
        <v>89400</v>
      </c>
      <c r="P24" s="326">
        <v>91400</v>
      </c>
      <c r="Q24" s="326">
        <v>89400</v>
      </c>
      <c r="R24" s="326">
        <v>-2000</v>
      </c>
      <c r="S24" s="327">
        <v>-2.1899999999999999E-2</v>
      </c>
      <c r="T24" s="326">
        <v>0</v>
      </c>
      <c r="U24" s="327">
        <v>0</v>
      </c>
      <c r="W24" s="223" t="s">
        <v>47</v>
      </c>
      <c r="X24" s="220" t="s">
        <v>478</v>
      </c>
      <c r="Y24" s="233">
        <v>5800</v>
      </c>
      <c r="Z24" s="233">
        <v>5100</v>
      </c>
      <c r="AA24" s="233">
        <v>5600</v>
      </c>
      <c r="AB24" s="221">
        <v>700</v>
      </c>
      <c r="AC24" s="222">
        <v>0.13730000000000001</v>
      </c>
      <c r="AD24" s="221">
        <v>200</v>
      </c>
      <c r="AE24" s="222">
        <v>3.5700000000000003E-2</v>
      </c>
    </row>
    <row r="25" spans="1:31">
      <c r="A25" s="130" t="s">
        <v>92</v>
      </c>
      <c r="M25" s="224" t="s">
        <v>574</v>
      </c>
      <c r="N25" s="220" t="s">
        <v>434</v>
      </c>
      <c r="O25" s="326">
        <v>21200</v>
      </c>
      <c r="P25" s="326">
        <v>21900</v>
      </c>
      <c r="Q25" s="326">
        <v>21500</v>
      </c>
      <c r="R25" s="326">
        <v>-700</v>
      </c>
      <c r="S25" s="327">
        <v>-3.2000000000000001E-2</v>
      </c>
      <c r="T25" s="326">
        <v>-300</v>
      </c>
      <c r="U25" s="327">
        <v>-1.4E-2</v>
      </c>
      <c r="W25" s="224" t="s">
        <v>479</v>
      </c>
      <c r="X25" s="227" t="s">
        <v>480</v>
      </c>
      <c r="Y25" s="228">
        <v>3300</v>
      </c>
      <c r="Z25" s="228">
        <v>2700</v>
      </c>
      <c r="AA25" s="228">
        <v>3300</v>
      </c>
      <c r="AB25" s="228">
        <v>600</v>
      </c>
      <c r="AC25" s="229">
        <v>0.22220000000000001</v>
      </c>
      <c r="AD25" s="228">
        <v>0</v>
      </c>
      <c r="AE25" s="229">
        <v>0</v>
      </c>
    </row>
    <row r="26" spans="1:31">
      <c r="A26" s="7" t="s">
        <v>124</v>
      </c>
      <c r="B26" s="83" t="s">
        <v>6</v>
      </c>
      <c r="C26" s="14">
        <f>O5</f>
        <v>717200</v>
      </c>
      <c r="D26" s="14">
        <f t="shared" ref="C26:I31" si="1">P5</f>
        <v>715900</v>
      </c>
      <c r="E26" s="14">
        <f t="shared" si="1"/>
        <v>703700</v>
      </c>
      <c r="F26" s="14">
        <f t="shared" si="1"/>
        <v>1300</v>
      </c>
      <c r="G26" s="127">
        <f t="shared" si="1"/>
        <v>1.8E-3</v>
      </c>
      <c r="H26" s="14">
        <f t="shared" si="1"/>
        <v>13500</v>
      </c>
      <c r="I26" s="127">
        <f t="shared" si="1"/>
        <v>1.9199999999999998E-2</v>
      </c>
      <c r="M26" s="224" t="s">
        <v>435</v>
      </c>
      <c r="N26" s="220" t="s">
        <v>575</v>
      </c>
      <c r="O26" s="326">
        <v>6800</v>
      </c>
      <c r="P26" s="326">
        <v>6900</v>
      </c>
      <c r="Q26" s="326">
        <v>6500</v>
      </c>
      <c r="R26" s="326">
        <v>-100</v>
      </c>
      <c r="S26" s="327">
        <v>-1.4500000000000001E-2</v>
      </c>
      <c r="T26" s="326">
        <v>300</v>
      </c>
      <c r="U26" s="327">
        <v>4.6199999999999998E-2</v>
      </c>
      <c r="W26" s="224" t="s">
        <v>481</v>
      </c>
      <c r="X26" s="227" t="s">
        <v>482</v>
      </c>
      <c r="Y26" s="228">
        <v>2500</v>
      </c>
      <c r="Z26" s="228">
        <v>2400</v>
      </c>
      <c r="AA26" s="228">
        <v>2300</v>
      </c>
      <c r="AB26" s="228">
        <v>100</v>
      </c>
      <c r="AC26" s="229">
        <v>4.1700000000000001E-2</v>
      </c>
      <c r="AD26" s="228">
        <v>200</v>
      </c>
      <c r="AE26" s="229">
        <v>8.6999999999999994E-2</v>
      </c>
    </row>
    <row r="27" spans="1:31">
      <c r="A27" s="7" t="s">
        <v>43</v>
      </c>
      <c r="B27" s="84" t="s">
        <v>220</v>
      </c>
      <c r="C27" s="14">
        <f t="shared" si="1"/>
        <v>625800</v>
      </c>
      <c r="D27" s="14">
        <f t="shared" si="1"/>
        <v>635000</v>
      </c>
      <c r="E27" s="14">
        <f t="shared" si="1"/>
        <v>615300</v>
      </c>
      <c r="F27" s="14">
        <f t="shared" si="1"/>
        <v>-9200</v>
      </c>
      <c r="G27" s="128">
        <f t="shared" si="1"/>
        <v>-1.4500000000000001E-2</v>
      </c>
      <c r="H27" s="14">
        <f t="shared" si="1"/>
        <v>10500</v>
      </c>
      <c r="I27" s="127">
        <f t="shared" si="1"/>
        <v>1.7100000000000001E-2</v>
      </c>
      <c r="M27" s="224" t="s">
        <v>576</v>
      </c>
      <c r="N27" s="220" t="s">
        <v>577</v>
      </c>
      <c r="O27" s="326">
        <v>4300</v>
      </c>
      <c r="P27" s="326">
        <v>4400</v>
      </c>
      <c r="Q27" s="326">
        <v>4500</v>
      </c>
      <c r="R27" s="326">
        <v>-100</v>
      </c>
      <c r="S27" s="327">
        <v>-2.2700000000000001E-2</v>
      </c>
      <c r="T27" s="326">
        <v>-200</v>
      </c>
      <c r="U27" s="327">
        <v>-4.4400000000000002E-2</v>
      </c>
    </row>
    <row r="28" spans="1:31">
      <c r="A28" s="7" t="s">
        <v>20</v>
      </c>
      <c r="B28" s="84" t="s">
        <v>222</v>
      </c>
      <c r="C28" s="14">
        <f t="shared" si="1"/>
        <v>104100</v>
      </c>
      <c r="D28" s="14">
        <f t="shared" si="1"/>
        <v>104500</v>
      </c>
      <c r="E28" s="14">
        <f t="shared" si="1"/>
        <v>103700</v>
      </c>
      <c r="F28" s="14">
        <f t="shared" si="1"/>
        <v>-400</v>
      </c>
      <c r="G28" s="128">
        <f t="shared" si="1"/>
        <v>-3.8E-3</v>
      </c>
      <c r="H28" s="14">
        <f t="shared" si="1"/>
        <v>400</v>
      </c>
      <c r="I28" s="127">
        <f t="shared" si="1"/>
        <v>3.8999999999999998E-3</v>
      </c>
      <c r="M28" s="225" t="s">
        <v>436</v>
      </c>
      <c r="N28" s="220" t="s">
        <v>13</v>
      </c>
      <c r="O28" s="326">
        <v>18700</v>
      </c>
      <c r="P28" s="326">
        <v>18100</v>
      </c>
      <c r="Q28" s="326">
        <v>18600</v>
      </c>
      <c r="R28" s="326">
        <v>600</v>
      </c>
      <c r="S28" s="327">
        <v>3.3099999999999997E-2</v>
      </c>
      <c r="T28" s="326">
        <v>100</v>
      </c>
      <c r="U28" s="327">
        <v>5.4000000000000003E-3</v>
      </c>
    </row>
    <row r="29" spans="1:31">
      <c r="A29" s="7" t="s">
        <v>25</v>
      </c>
      <c r="B29" s="84" t="s">
        <v>223</v>
      </c>
      <c r="C29" s="126">
        <f t="shared" si="1"/>
        <v>613100</v>
      </c>
      <c r="D29" s="126">
        <f t="shared" si="1"/>
        <v>611400</v>
      </c>
      <c r="E29" s="126">
        <f t="shared" si="1"/>
        <v>600000</v>
      </c>
      <c r="F29" s="126">
        <f t="shared" si="1"/>
        <v>1700</v>
      </c>
      <c r="G29" s="129">
        <f t="shared" si="1"/>
        <v>2.8E-3</v>
      </c>
      <c r="H29" s="126">
        <f t="shared" si="1"/>
        <v>13100</v>
      </c>
      <c r="I29" s="127">
        <f t="shared" si="1"/>
        <v>2.18E-2</v>
      </c>
      <c r="M29" s="224" t="s">
        <v>26</v>
      </c>
      <c r="N29" s="220" t="s">
        <v>437</v>
      </c>
      <c r="O29" s="326">
        <v>2100</v>
      </c>
      <c r="P29" s="326">
        <v>2100</v>
      </c>
      <c r="Q29" s="326">
        <v>2100</v>
      </c>
      <c r="R29" s="326">
        <v>0</v>
      </c>
      <c r="S29" s="327">
        <v>0</v>
      </c>
      <c r="T29" s="326">
        <v>0</v>
      </c>
      <c r="U29" s="327">
        <v>0</v>
      </c>
      <c r="W29" s="357" t="s">
        <v>486</v>
      </c>
      <c r="X29" s="357"/>
      <c r="Y29" s="357"/>
      <c r="Z29" s="357"/>
      <c r="AA29" s="357"/>
      <c r="AB29" s="357"/>
      <c r="AC29" s="357"/>
      <c r="AD29" s="357"/>
      <c r="AE29" s="357"/>
    </row>
    <row r="30" spans="1:31">
      <c r="A30" s="7" t="s">
        <v>230</v>
      </c>
      <c r="B30" s="84" t="s">
        <v>229</v>
      </c>
      <c r="C30" s="126">
        <f>O9</f>
        <v>521700</v>
      </c>
      <c r="D30" s="126">
        <f t="shared" si="1"/>
        <v>530500</v>
      </c>
      <c r="E30" s="126">
        <f t="shared" si="1"/>
        <v>511600</v>
      </c>
      <c r="F30" s="126">
        <f t="shared" si="1"/>
        <v>-8800</v>
      </c>
      <c r="G30" s="129">
        <f t="shared" si="1"/>
        <v>-1.66E-2</v>
      </c>
      <c r="H30" s="126">
        <f t="shared" si="1"/>
        <v>10100</v>
      </c>
      <c r="I30" s="127">
        <f t="shared" si="1"/>
        <v>1.9699999999999999E-2</v>
      </c>
      <c r="M30" s="224" t="s">
        <v>29</v>
      </c>
      <c r="N30" s="220" t="s">
        <v>438</v>
      </c>
      <c r="O30" s="326">
        <v>16600</v>
      </c>
      <c r="P30" s="326">
        <v>16000</v>
      </c>
      <c r="Q30" s="326">
        <v>16500</v>
      </c>
      <c r="R30" s="326">
        <v>600</v>
      </c>
      <c r="S30" s="327">
        <v>3.7499999999999999E-2</v>
      </c>
      <c r="T30" s="326">
        <v>100</v>
      </c>
      <c r="U30" s="327">
        <v>6.1000000000000004E-3</v>
      </c>
      <c r="W30" s="381" t="s">
        <v>407</v>
      </c>
      <c r="X30" s="120" t="s">
        <v>408</v>
      </c>
      <c r="Y30" s="377" t="s">
        <v>64</v>
      </c>
      <c r="Z30" s="379" t="s">
        <v>409</v>
      </c>
      <c r="AA30" s="378" t="s">
        <v>409</v>
      </c>
      <c r="AB30" s="377" t="s">
        <v>410</v>
      </c>
      <c r="AC30" s="378"/>
      <c r="AD30" s="379" t="s">
        <v>411</v>
      </c>
      <c r="AE30" s="379"/>
    </row>
    <row r="31" spans="1:31" ht="12.75" customHeight="1">
      <c r="A31" s="7" t="s">
        <v>132</v>
      </c>
      <c r="B31" s="84">
        <v>15000000</v>
      </c>
      <c r="C31" s="166">
        <f>O10</f>
        <v>33800</v>
      </c>
      <c r="D31" s="166">
        <f t="shared" si="1"/>
        <v>34300</v>
      </c>
      <c r="E31" s="166">
        <f t="shared" si="1"/>
        <v>33200</v>
      </c>
      <c r="F31" s="166">
        <f t="shared" si="1"/>
        <v>-500</v>
      </c>
      <c r="G31" s="133">
        <f t="shared" si="1"/>
        <v>-1.46E-2</v>
      </c>
      <c r="H31" s="166">
        <f t="shared" si="1"/>
        <v>600</v>
      </c>
      <c r="I31" s="133">
        <f t="shared" si="1"/>
        <v>1.8100000000000002E-2</v>
      </c>
      <c r="M31" s="219" t="s">
        <v>30</v>
      </c>
      <c r="N31" s="220" t="s">
        <v>311</v>
      </c>
      <c r="O31" s="326">
        <v>11500</v>
      </c>
      <c r="P31" s="326">
        <v>11600</v>
      </c>
      <c r="Q31" s="326">
        <v>11700</v>
      </c>
      <c r="R31" s="326">
        <v>-100</v>
      </c>
      <c r="S31" s="327">
        <v>-8.6E-3</v>
      </c>
      <c r="T31" s="326">
        <v>-200</v>
      </c>
      <c r="U31" s="327">
        <v>-1.7100000000000001E-2</v>
      </c>
      <c r="W31" s="381"/>
      <c r="X31" s="121" t="s">
        <v>412</v>
      </c>
      <c r="Y31" s="319">
        <v>45536</v>
      </c>
      <c r="Z31" s="320">
        <v>45505</v>
      </c>
      <c r="AA31" s="321">
        <v>45170</v>
      </c>
      <c r="AB31" s="322" t="s">
        <v>413</v>
      </c>
      <c r="AC31" s="323" t="s">
        <v>414</v>
      </c>
      <c r="AD31" s="324" t="s">
        <v>413</v>
      </c>
      <c r="AE31" s="324" t="s">
        <v>414</v>
      </c>
    </row>
    <row r="32" spans="1:31" ht="12.75" customHeight="1">
      <c r="A32" s="7" t="s">
        <v>219</v>
      </c>
      <c r="B32" s="84" t="s">
        <v>231</v>
      </c>
      <c r="C32" s="126">
        <f>O11</f>
        <v>900</v>
      </c>
      <c r="D32" s="126">
        <f t="shared" ref="D32:I33" si="2">P11</f>
        <v>900</v>
      </c>
      <c r="E32" s="126">
        <f t="shared" si="2"/>
        <v>900</v>
      </c>
      <c r="F32" s="126">
        <f t="shared" si="2"/>
        <v>0</v>
      </c>
      <c r="G32" s="129">
        <f t="shared" si="2"/>
        <v>0</v>
      </c>
      <c r="H32" s="126">
        <f t="shared" si="2"/>
        <v>0</v>
      </c>
      <c r="I32" s="127">
        <f t="shared" si="2"/>
        <v>0</v>
      </c>
      <c r="M32" s="225" t="s">
        <v>578</v>
      </c>
      <c r="N32" s="220" t="s">
        <v>579</v>
      </c>
      <c r="O32" s="326">
        <v>4800</v>
      </c>
      <c r="P32" s="326">
        <v>4800</v>
      </c>
      <c r="Q32" s="326">
        <v>4900</v>
      </c>
      <c r="R32" s="326">
        <v>0</v>
      </c>
      <c r="S32" s="327">
        <v>0</v>
      </c>
      <c r="T32" s="326">
        <v>-100</v>
      </c>
      <c r="U32" s="327">
        <v>-2.0400000000000001E-2</v>
      </c>
      <c r="W32" s="219" t="s">
        <v>415</v>
      </c>
      <c r="X32" s="220" t="s">
        <v>6</v>
      </c>
      <c r="Y32" s="325">
        <v>117400</v>
      </c>
      <c r="Z32" s="325">
        <v>116200</v>
      </c>
      <c r="AA32" s="325">
        <v>114800</v>
      </c>
      <c r="AB32" s="326">
        <v>1200</v>
      </c>
      <c r="AC32" s="327">
        <v>1.03E-2</v>
      </c>
      <c r="AD32" s="326">
        <v>2600</v>
      </c>
      <c r="AE32" s="327">
        <v>2.2599999999999999E-2</v>
      </c>
    </row>
    <row r="33" spans="1:31" ht="12.75" customHeight="1">
      <c r="A33" s="7" t="s">
        <v>23</v>
      </c>
      <c r="B33" s="83">
        <v>20000000</v>
      </c>
      <c r="C33" s="126">
        <f>O12</f>
        <v>32900</v>
      </c>
      <c r="D33" s="126">
        <f t="shared" si="2"/>
        <v>33400</v>
      </c>
      <c r="E33" s="126">
        <f t="shared" si="2"/>
        <v>32300</v>
      </c>
      <c r="F33" s="126">
        <f t="shared" si="2"/>
        <v>-500</v>
      </c>
      <c r="G33" s="128">
        <f t="shared" si="2"/>
        <v>-1.4999999999999999E-2</v>
      </c>
      <c r="H33" s="126">
        <f t="shared" si="2"/>
        <v>600</v>
      </c>
      <c r="I33" s="128">
        <f t="shared" si="2"/>
        <v>1.8599999999999998E-2</v>
      </c>
      <c r="M33" s="219" t="s">
        <v>221</v>
      </c>
      <c r="N33" s="220" t="s">
        <v>312</v>
      </c>
      <c r="O33" s="326">
        <v>34700</v>
      </c>
      <c r="P33" s="326">
        <v>34700</v>
      </c>
      <c r="Q33" s="326">
        <v>34500</v>
      </c>
      <c r="R33" s="326">
        <v>0</v>
      </c>
      <c r="S33" s="327">
        <v>0</v>
      </c>
      <c r="T33" s="326">
        <v>200</v>
      </c>
      <c r="U33" s="327">
        <v>5.7999999999999996E-3</v>
      </c>
      <c r="W33" s="219" t="s">
        <v>43</v>
      </c>
      <c r="X33" s="220" t="s">
        <v>220</v>
      </c>
      <c r="Y33" s="325">
        <v>104900</v>
      </c>
      <c r="Z33" s="325">
        <v>105000</v>
      </c>
      <c r="AA33" s="325">
        <v>102700</v>
      </c>
      <c r="AB33" s="326">
        <v>-100</v>
      </c>
      <c r="AC33" s="327">
        <v>-1E-3</v>
      </c>
      <c r="AD33" s="326">
        <v>2200</v>
      </c>
      <c r="AE33" s="327">
        <v>2.1399999999999999E-2</v>
      </c>
    </row>
    <row r="34" spans="1:31" ht="15" customHeight="1">
      <c r="A34" s="7" t="s">
        <v>125</v>
      </c>
      <c r="B34" s="83" t="s">
        <v>7</v>
      </c>
      <c r="C34" s="126">
        <f t="shared" ref="C34:I34" si="3">O15</f>
        <v>70300</v>
      </c>
      <c r="D34" s="126">
        <f t="shared" si="3"/>
        <v>70200</v>
      </c>
      <c r="E34" s="126">
        <f t="shared" si="3"/>
        <v>70500</v>
      </c>
      <c r="F34" s="126">
        <f t="shared" si="3"/>
        <v>100</v>
      </c>
      <c r="G34" s="128">
        <f t="shared" si="3"/>
        <v>1.4E-3</v>
      </c>
      <c r="H34" s="126">
        <f t="shared" si="3"/>
        <v>-200</v>
      </c>
      <c r="I34" s="128">
        <f t="shared" si="3"/>
        <v>-2.8E-3</v>
      </c>
      <c r="M34" s="225" t="s">
        <v>31</v>
      </c>
      <c r="N34" s="220" t="s">
        <v>439</v>
      </c>
      <c r="O34" s="326">
        <v>27000</v>
      </c>
      <c r="P34" s="326">
        <v>27000</v>
      </c>
      <c r="Q34" s="326">
        <v>27000</v>
      </c>
      <c r="R34" s="326">
        <v>0</v>
      </c>
      <c r="S34" s="327">
        <v>0</v>
      </c>
      <c r="T34" s="326">
        <v>0</v>
      </c>
      <c r="U34" s="327">
        <v>0</v>
      </c>
      <c r="W34" s="219" t="s">
        <v>416</v>
      </c>
      <c r="X34" s="220" t="s">
        <v>222</v>
      </c>
      <c r="Y34" s="325">
        <v>14100</v>
      </c>
      <c r="Z34" s="325">
        <v>14100</v>
      </c>
      <c r="AA34" s="325">
        <v>13900</v>
      </c>
      <c r="AB34" s="326">
        <v>0</v>
      </c>
      <c r="AC34" s="327">
        <v>0</v>
      </c>
      <c r="AD34" s="326">
        <v>200</v>
      </c>
      <c r="AE34" s="327">
        <v>1.44E-2</v>
      </c>
    </row>
    <row r="35" spans="1:31">
      <c r="A35" s="7" t="s">
        <v>232</v>
      </c>
      <c r="B35" s="83">
        <v>40000000</v>
      </c>
      <c r="C35" s="14">
        <f t="shared" ref="C35:I36" si="4">O20</f>
        <v>139100</v>
      </c>
      <c r="D35" s="14">
        <f t="shared" si="4"/>
        <v>140800</v>
      </c>
      <c r="E35" s="14">
        <f t="shared" si="4"/>
        <v>139300</v>
      </c>
      <c r="F35" s="14">
        <f t="shared" si="4"/>
        <v>-1700</v>
      </c>
      <c r="G35" s="128">
        <f t="shared" si="4"/>
        <v>-1.21E-2</v>
      </c>
      <c r="H35" s="14">
        <f t="shared" si="4"/>
        <v>-200</v>
      </c>
      <c r="I35" s="128">
        <f t="shared" si="4"/>
        <v>-1.4E-3</v>
      </c>
      <c r="M35" s="224" t="s">
        <v>440</v>
      </c>
      <c r="N35" s="220" t="s">
        <v>441</v>
      </c>
      <c r="O35" s="326">
        <v>12300</v>
      </c>
      <c r="P35" s="326">
        <v>12300</v>
      </c>
      <c r="Q35" s="326">
        <v>12300</v>
      </c>
      <c r="R35" s="326">
        <v>0</v>
      </c>
      <c r="S35" s="327">
        <v>0</v>
      </c>
      <c r="T35" s="326">
        <v>0</v>
      </c>
      <c r="U35" s="327">
        <v>0</v>
      </c>
      <c r="W35" s="219" t="s">
        <v>417</v>
      </c>
      <c r="X35" s="220" t="s">
        <v>223</v>
      </c>
      <c r="Y35" s="325">
        <v>103300</v>
      </c>
      <c r="Z35" s="325">
        <v>102100</v>
      </c>
      <c r="AA35" s="325">
        <v>100900</v>
      </c>
      <c r="AB35" s="326">
        <v>1200</v>
      </c>
      <c r="AC35" s="327">
        <v>1.18E-2</v>
      </c>
      <c r="AD35" s="326">
        <v>2400</v>
      </c>
      <c r="AE35" s="327">
        <v>2.3800000000000002E-2</v>
      </c>
    </row>
    <row r="36" spans="1:31">
      <c r="A36" s="7" t="s">
        <v>126</v>
      </c>
      <c r="B36" s="83" t="s">
        <v>12</v>
      </c>
      <c r="C36" s="14">
        <f t="shared" si="4"/>
        <v>31000</v>
      </c>
      <c r="D36" s="14">
        <f t="shared" si="4"/>
        <v>31300</v>
      </c>
      <c r="E36" s="14">
        <f t="shared" si="4"/>
        <v>31300</v>
      </c>
      <c r="F36" s="14">
        <f t="shared" si="4"/>
        <v>-300</v>
      </c>
      <c r="G36" s="128">
        <f t="shared" si="4"/>
        <v>-9.5999999999999992E-3</v>
      </c>
      <c r="H36" s="14">
        <f t="shared" si="4"/>
        <v>-300</v>
      </c>
      <c r="I36" s="128">
        <f t="shared" si="4"/>
        <v>-9.5999999999999992E-3</v>
      </c>
      <c r="M36" s="225" t="s">
        <v>32</v>
      </c>
      <c r="N36" s="220" t="s">
        <v>442</v>
      </c>
      <c r="O36" s="326">
        <v>7700</v>
      </c>
      <c r="P36" s="326">
        <v>7700</v>
      </c>
      <c r="Q36" s="326">
        <v>7500</v>
      </c>
      <c r="R36" s="326">
        <v>0</v>
      </c>
      <c r="S36" s="327">
        <v>0</v>
      </c>
      <c r="T36" s="326">
        <v>200</v>
      </c>
      <c r="U36" s="327">
        <v>2.6700000000000002E-2</v>
      </c>
      <c r="W36" s="219" t="s">
        <v>418</v>
      </c>
      <c r="X36" s="220" t="s">
        <v>229</v>
      </c>
      <c r="Y36" s="325">
        <v>90800</v>
      </c>
      <c r="Z36" s="325">
        <v>90900</v>
      </c>
      <c r="AA36" s="325">
        <v>88800</v>
      </c>
      <c r="AB36" s="326">
        <v>-100</v>
      </c>
      <c r="AC36" s="327">
        <v>-1.1000000000000001E-3</v>
      </c>
      <c r="AD36" s="326">
        <v>2000</v>
      </c>
      <c r="AE36" s="327">
        <v>2.2499999999999999E-2</v>
      </c>
    </row>
    <row r="37" spans="1:31">
      <c r="A37" s="7" t="s">
        <v>127</v>
      </c>
      <c r="B37" s="83" t="s">
        <v>8</v>
      </c>
      <c r="C37" s="14">
        <f t="shared" ref="C37:I37" si="5">O24</f>
        <v>89400</v>
      </c>
      <c r="D37" s="14">
        <f t="shared" si="5"/>
        <v>91400</v>
      </c>
      <c r="E37" s="14">
        <f t="shared" si="5"/>
        <v>89400</v>
      </c>
      <c r="F37" s="14">
        <f t="shared" si="5"/>
        <v>-2000</v>
      </c>
      <c r="G37" s="128">
        <f t="shared" si="5"/>
        <v>-2.1899999999999999E-2</v>
      </c>
      <c r="H37" s="14">
        <f t="shared" si="5"/>
        <v>0</v>
      </c>
      <c r="I37" s="128">
        <f t="shared" si="5"/>
        <v>0</v>
      </c>
      <c r="M37" s="219" t="s">
        <v>443</v>
      </c>
      <c r="N37" s="220" t="s">
        <v>313</v>
      </c>
      <c r="O37" s="326">
        <v>100700</v>
      </c>
      <c r="P37" s="326">
        <v>101500</v>
      </c>
      <c r="Q37" s="326">
        <v>98500</v>
      </c>
      <c r="R37" s="326">
        <v>-800</v>
      </c>
      <c r="S37" s="327">
        <v>-7.9000000000000008E-3</v>
      </c>
      <c r="T37" s="326">
        <v>2200</v>
      </c>
      <c r="U37" s="327">
        <v>2.23E-2</v>
      </c>
      <c r="W37" s="219" t="s">
        <v>485</v>
      </c>
      <c r="X37" s="220" t="s">
        <v>315</v>
      </c>
      <c r="Y37" s="325">
        <v>6200</v>
      </c>
      <c r="Z37" s="325">
        <v>6200</v>
      </c>
      <c r="AA37" s="325">
        <v>6000</v>
      </c>
      <c r="AB37" s="326">
        <v>0</v>
      </c>
      <c r="AC37" s="327">
        <v>0</v>
      </c>
      <c r="AD37" s="326">
        <v>200</v>
      </c>
      <c r="AE37" s="327">
        <v>3.3300000000000003E-2</v>
      </c>
    </row>
    <row r="38" spans="1:31">
      <c r="A38" s="7" t="s">
        <v>134</v>
      </c>
      <c r="B38" s="83" t="s">
        <v>13</v>
      </c>
      <c r="C38" s="14">
        <f t="shared" ref="C38:I38" si="6">O28</f>
        <v>18700</v>
      </c>
      <c r="D38" s="14">
        <f t="shared" si="6"/>
        <v>18100</v>
      </c>
      <c r="E38" s="14">
        <f t="shared" si="6"/>
        <v>18600</v>
      </c>
      <c r="F38" s="14">
        <f t="shared" si="6"/>
        <v>600</v>
      </c>
      <c r="G38" s="128">
        <f t="shared" si="6"/>
        <v>3.3099999999999997E-2</v>
      </c>
      <c r="H38" s="14">
        <f t="shared" si="6"/>
        <v>100</v>
      </c>
      <c r="I38" s="128">
        <f t="shared" si="6"/>
        <v>5.4000000000000003E-3</v>
      </c>
      <c r="M38" s="225" t="s">
        <v>444</v>
      </c>
      <c r="N38" s="220" t="s">
        <v>445</v>
      </c>
      <c r="O38" s="326">
        <v>48500</v>
      </c>
      <c r="P38" s="326">
        <v>49200</v>
      </c>
      <c r="Q38" s="326">
        <v>47500</v>
      </c>
      <c r="R38" s="326">
        <v>-700</v>
      </c>
      <c r="S38" s="327">
        <v>-1.4200000000000001E-2</v>
      </c>
      <c r="T38" s="326">
        <v>1000</v>
      </c>
      <c r="U38" s="327">
        <v>2.1100000000000001E-2</v>
      </c>
      <c r="W38" s="219" t="s">
        <v>24</v>
      </c>
      <c r="X38" s="220" t="s">
        <v>7</v>
      </c>
      <c r="Y38" s="325">
        <v>7900</v>
      </c>
      <c r="Z38" s="325">
        <v>7900</v>
      </c>
      <c r="AA38" s="325">
        <v>7900</v>
      </c>
      <c r="AB38" s="326">
        <v>0</v>
      </c>
      <c r="AC38" s="327">
        <v>0</v>
      </c>
      <c r="AD38" s="326">
        <v>0</v>
      </c>
      <c r="AE38" s="327">
        <v>0</v>
      </c>
    </row>
    <row r="39" spans="1:31">
      <c r="A39" s="7" t="s">
        <v>30</v>
      </c>
      <c r="B39" s="83">
        <v>50000000</v>
      </c>
      <c r="C39" s="14">
        <f t="shared" ref="C39:I39" si="7">O31</f>
        <v>11500</v>
      </c>
      <c r="D39" s="14">
        <f t="shared" si="7"/>
        <v>11600</v>
      </c>
      <c r="E39" s="14">
        <f t="shared" si="7"/>
        <v>11700</v>
      </c>
      <c r="F39" s="14">
        <f t="shared" si="7"/>
        <v>-100</v>
      </c>
      <c r="G39" s="128">
        <f t="shared" si="7"/>
        <v>-8.6E-3</v>
      </c>
      <c r="H39" s="14">
        <f t="shared" si="7"/>
        <v>-200</v>
      </c>
      <c r="I39" s="128">
        <f t="shared" si="7"/>
        <v>-1.7100000000000001E-2</v>
      </c>
      <c r="M39" s="225" t="s">
        <v>446</v>
      </c>
      <c r="N39" s="220" t="s">
        <v>447</v>
      </c>
      <c r="O39" s="326">
        <v>11000</v>
      </c>
      <c r="P39" s="326">
        <v>11100</v>
      </c>
      <c r="Q39" s="326">
        <v>10900</v>
      </c>
      <c r="R39" s="326">
        <v>-100</v>
      </c>
      <c r="S39" s="327">
        <v>-8.9999999999999993E-3</v>
      </c>
      <c r="T39" s="326">
        <v>100</v>
      </c>
      <c r="U39" s="327">
        <v>9.1999999999999998E-3</v>
      </c>
      <c r="W39" s="219" t="s">
        <v>232</v>
      </c>
      <c r="X39" s="220" t="s">
        <v>310</v>
      </c>
      <c r="Y39" s="325">
        <v>19700</v>
      </c>
      <c r="Z39" s="325">
        <v>19900</v>
      </c>
      <c r="AA39" s="325">
        <v>20000</v>
      </c>
      <c r="AB39" s="326">
        <v>-200</v>
      </c>
      <c r="AC39" s="327">
        <v>-1.01E-2</v>
      </c>
      <c r="AD39" s="326">
        <v>-300</v>
      </c>
      <c r="AE39" s="327">
        <v>-1.4999999999999999E-2</v>
      </c>
    </row>
    <row r="40" spans="1:31">
      <c r="A40" s="7" t="s">
        <v>221</v>
      </c>
      <c r="B40" s="83">
        <v>55000000</v>
      </c>
      <c r="C40" s="14">
        <f t="shared" ref="C40:I40" si="8">O33</f>
        <v>34700</v>
      </c>
      <c r="D40" s="14">
        <f t="shared" si="8"/>
        <v>34700</v>
      </c>
      <c r="E40" s="14">
        <f t="shared" si="8"/>
        <v>34500</v>
      </c>
      <c r="F40" s="14">
        <f t="shared" si="8"/>
        <v>0</v>
      </c>
      <c r="G40" s="128">
        <f t="shared" si="8"/>
        <v>0</v>
      </c>
      <c r="H40" s="14">
        <f t="shared" si="8"/>
        <v>200</v>
      </c>
      <c r="I40" s="128">
        <f t="shared" si="8"/>
        <v>5.7999999999999996E-3</v>
      </c>
      <c r="M40" s="225" t="s">
        <v>448</v>
      </c>
      <c r="N40" s="220" t="s">
        <v>449</v>
      </c>
      <c r="O40" s="326">
        <v>41200</v>
      </c>
      <c r="P40" s="326">
        <v>41200</v>
      </c>
      <c r="Q40" s="326">
        <v>40100</v>
      </c>
      <c r="R40" s="326">
        <v>0</v>
      </c>
      <c r="S40" s="327">
        <v>0</v>
      </c>
      <c r="T40" s="326">
        <v>1100</v>
      </c>
      <c r="U40" s="327">
        <v>2.7400000000000001E-2</v>
      </c>
      <c r="W40" s="223" t="s">
        <v>27</v>
      </c>
      <c r="X40" s="220" t="s">
        <v>12</v>
      </c>
      <c r="Y40" s="325">
        <v>4500</v>
      </c>
      <c r="Z40" s="325">
        <v>4500</v>
      </c>
      <c r="AA40" s="325">
        <v>4500</v>
      </c>
      <c r="AB40" s="326">
        <v>0</v>
      </c>
      <c r="AC40" s="327">
        <v>0</v>
      </c>
      <c r="AD40" s="326">
        <v>0</v>
      </c>
      <c r="AE40" s="327">
        <v>0</v>
      </c>
    </row>
    <row r="41" spans="1:31">
      <c r="A41" s="7" t="s">
        <v>129</v>
      </c>
      <c r="B41" s="83">
        <v>60000000</v>
      </c>
      <c r="C41" s="14">
        <f t="shared" ref="C41:I41" si="9">O37</f>
        <v>100700</v>
      </c>
      <c r="D41" s="14">
        <f t="shared" si="9"/>
        <v>101500</v>
      </c>
      <c r="E41" s="14">
        <f t="shared" si="9"/>
        <v>98500</v>
      </c>
      <c r="F41" s="14">
        <f t="shared" si="9"/>
        <v>-800</v>
      </c>
      <c r="G41" s="128">
        <f t="shared" si="9"/>
        <v>-7.9000000000000008E-3</v>
      </c>
      <c r="H41" s="14">
        <f t="shared" si="9"/>
        <v>2200</v>
      </c>
      <c r="I41" s="128">
        <f t="shared" si="9"/>
        <v>2.23E-2</v>
      </c>
      <c r="M41" s="219" t="s">
        <v>572</v>
      </c>
      <c r="N41" s="220" t="s">
        <v>314</v>
      </c>
      <c r="O41" s="326">
        <v>134100</v>
      </c>
      <c r="P41" s="326">
        <v>131200</v>
      </c>
      <c r="Q41" s="326">
        <v>126900</v>
      </c>
      <c r="R41" s="326">
        <v>2900</v>
      </c>
      <c r="S41" s="327">
        <v>2.2100000000000002E-2</v>
      </c>
      <c r="T41" s="326">
        <v>7200</v>
      </c>
      <c r="U41" s="327">
        <v>5.67E-2</v>
      </c>
      <c r="W41" s="223" t="s">
        <v>28</v>
      </c>
      <c r="X41" s="220" t="s">
        <v>8</v>
      </c>
      <c r="Y41" s="325">
        <v>11600</v>
      </c>
      <c r="Z41" s="325">
        <v>11900</v>
      </c>
      <c r="AA41" s="325">
        <v>12000</v>
      </c>
      <c r="AB41" s="326">
        <v>-300</v>
      </c>
      <c r="AC41" s="327">
        <v>-2.52E-2</v>
      </c>
      <c r="AD41" s="326">
        <v>-400</v>
      </c>
      <c r="AE41" s="327">
        <v>-3.3300000000000003E-2</v>
      </c>
    </row>
    <row r="42" spans="1:31">
      <c r="A42" s="7" t="s">
        <v>572</v>
      </c>
      <c r="B42" s="83">
        <v>65000000</v>
      </c>
      <c r="C42" s="14">
        <f t="shared" ref="C42:I42" si="10">O41</f>
        <v>134100</v>
      </c>
      <c r="D42" s="14">
        <f t="shared" si="10"/>
        <v>131200</v>
      </c>
      <c r="E42" s="14">
        <f t="shared" si="10"/>
        <v>126900</v>
      </c>
      <c r="F42" s="14">
        <f t="shared" si="10"/>
        <v>2900</v>
      </c>
      <c r="G42" s="128">
        <f t="shared" si="10"/>
        <v>2.2100000000000002E-2</v>
      </c>
      <c r="H42" s="14">
        <f t="shared" si="10"/>
        <v>7200</v>
      </c>
      <c r="I42" s="128">
        <f t="shared" si="10"/>
        <v>5.67E-2</v>
      </c>
      <c r="M42" s="225" t="s">
        <v>580</v>
      </c>
      <c r="N42" s="220" t="s">
        <v>450</v>
      </c>
      <c r="O42" s="326">
        <v>33400</v>
      </c>
      <c r="P42" s="326">
        <v>30100</v>
      </c>
      <c r="Q42" s="326">
        <v>31700</v>
      </c>
      <c r="R42" s="326">
        <v>3300</v>
      </c>
      <c r="S42" s="327">
        <v>0.1096</v>
      </c>
      <c r="T42" s="326">
        <v>1700</v>
      </c>
      <c r="U42" s="327">
        <v>5.3600000000000002E-2</v>
      </c>
      <c r="W42" s="223" t="s">
        <v>436</v>
      </c>
      <c r="X42" s="220" t="s">
        <v>13</v>
      </c>
      <c r="Y42" s="325">
        <v>3600</v>
      </c>
      <c r="Z42" s="325">
        <v>3500</v>
      </c>
      <c r="AA42" s="325">
        <v>3500</v>
      </c>
      <c r="AB42" s="326">
        <v>100</v>
      </c>
      <c r="AC42" s="327">
        <v>2.86E-2</v>
      </c>
      <c r="AD42" s="326">
        <v>100</v>
      </c>
      <c r="AE42" s="327">
        <v>2.86E-2</v>
      </c>
    </row>
    <row r="43" spans="1:31">
      <c r="A43" s="7" t="s">
        <v>128</v>
      </c>
      <c r="B43" s="83" t="s">
        <v>9</v>
      </c>
      <c r="C43" s="14">
        <f t="shared" ref="C43:I43" si="11">O47</f>
        <v>76300</v>
      </c>
      <c r="D43" s="14">
        <f t="shared" si="11"/>
        <v>84400</v>
      </c>
      <c r="E43" s="14">
        <f t="shared" si="11"/>
        <v>75800</v>
      </c>
      <c r="F43" s="14">
        <f t="shared" si="11"/>
        <v>-8100</v>
      </c>
      <c r="G43" s="128">
        <f t="shared" si="11"/>
        <v>-9.6000000000000002E-2</v>
      </c>
      <c r="H43" s="14">
        <f t="shared" si="11"/>
        <v>500</v>
      </c>
      <c r="I43" s="128">
        <f t="shared" si="11"/>
        <v>6.6E-3</v>
      </c>
      <c r="M43" s="224" t="s">
        <v>581</v>
      </c>
      <c r="N43" s="220" t="s">
        <v>451</v>
      </c>
      <c r="O43" s="326">
        <v>20200</v>
      </c>
      <c r="P43" s="326">
        <v>17600</v>
      </c>
      <c r="Q43" s="326">
        <v>18500</v>
      </c>
      <c r="R43" s="326">
        <v>2600</v>
      </c>
      <c r="S43" s="327">
        <v>0.1477</v>
      </c>
      <c r="T43" s="326">
        <v>1700</v>
      </c>
      <c r="U43" s="327">
        <v>9.1899999999999996E-2</v>
      </c>
      <c r="W43" s="219" t="s">
        <v>30</v>
      </c>
      <c r="X43" s="220" t="s">
        <v>311</v>
      </c>
      <c r="Y43" s="325">
        <v>2500</v>
      </c>
      <c r="Z43" s="325">
        <v>2500</v>
      </c>
      <c r="AA43" s="325">
        <v>2500</v>
      </c>
      <c r="AB43" s="326">
        <v>0</v>
      </c>
      <c r="AC43" s="327">
        <v>0</v>
      </c>
      <c r="AD43" s="326">
        <v>0</v>
      </c>
      <c r="AE43" s="327">
        <v>0</v>
      </c>
    </row>
    <row r="44" spans="1:31">
      <c r="A44" s="7" t="s">
        <v>130</v>
      </c>
      <c r="B44" s="83" t="s">
        <v>10</v>
      </c>
      <c r="C44" s="14">
        <f t="shared" ref="C44:I45" si="12">O56</f>
        <v>25300</v>
      </c>
      <c r="D44" s="14">
        <f t="shared" si="12"/>
        <v>26300</v>
      </c>
      <c r="E44" s="14">
        <f t="shared" si="12"/>
        <v>24900</v>
      </c>
      <c r="F44" s="14">
        <f t="shared" si="12"/>
        <v>-1000</v>
      </c>
      <c r="G44" s="128">
        <f t="shared" si="12"/>
        <v>-3.7999999999999999E-2</v>
      </c>
      <c r="H44" s="14">
        <f t="shared" si="12"/>
        <v>400</v>
      </c>
      <c r="I44" s="128">
        <f t="shared" si="12"/>
        <v>1.61E-2</v>
      </c>
      <c r="M44" s="225" t="s">
        <v>37</v>
      </c>
      <c r="N44" s="220" t="s">
        <v>452</v>
      </c>
      <c r="O44" s="326">
        <v>100700</v>
      </c>
      <c r="P44" s="326">
        <v>101100</v>
      </c>
      <c r="Q44" s="326">
        <v>95200</v>
      </c>
      <c r="R44" s="326">
        <v>-400</v>
      </c>
      <c r="S44" s="327">
        <v>-4.0000000000000001E-3</v>
      </c>
      <c r="T44" s="326">
        <v>5500</v>
      </c>
      <c r="U44" s="327">
        <v>5.7799999999999997E-2</v>
      </c>
      <c r="W44" s="219" t="s">
        <v>221</v>
      </c>
      <c r="X44" s="220" t="s">
        <v>312</v>
      </c>
      <c r="Y44" s="325">
        <v>7100</v>
      </c>
      <c r="Z44" s="325">
        <v>7100</v>
      </c>
      <c r="AA44" s="325">
        <v>7200</v>
      </c>
      <c r="AB44" s="326">
        <v>0</v>
      </c>
      <c r="AC44" s="327">
        <v>0</v>
      </c>
      <c r="AD44" s="326">
        <v>-100</v>
      </c>
      <c r="AE44" s="327">
        <v>-1.3899999999999999E-2</v>
      </c>
    </row>
    <row r="45" spans="1:31">
      <c r="A45" s="7" t="s">
        <v>131</v>
      </c>
      <c r="B45" s="83" t="s">
        <v>11</v>
      </c>
      <c r="C45" s="14">
        <f t="shared" si="12"/>
        <v>91400</v>
      </c>
      <c r="D45" s="14">
        <f t="shared" si="12"/>
        <v>80900</v>
      </c>
      <c r="E45" s="14">
        <f t="shared" si="12"/>
        <v>88400</v>
      </c>
      <c r="F45" s="14">
        <f t="shared" si="12"/>
        <v>10500</v>
      </c>
      <c r="G45" s="128">
        <f t="shared" si="12"/>
        <v>0.1298</v>
      </c>
      <c r="H45" s="14">
        <f t="shared" si="12"/>
        <v>3000</v>
      </c>
      <c r="I45" s="128">
        <f t="shared" si="12"/>
        <v>3.39E-2</v>
      </c>
      <c r="M45" s="224" t="s">
        <v>453</v>
      </c>
      <c r="N45" s="220" t="s">
        <v>454</v>
      </c>
      <c r="O45" s="326">
        <v>38300</v>
      </c>
      <c r="P45" s="326">
        <v>38400</v>
      </c>
      <c r="Q45" s="326">
        <v>36200</v>
      </c>
      <c r="R45" s="326">
        <v>-100</v>
      </c>
      <c r="S45" s="327">
        <v>-2.5999999999999999E-3</v>
      </c>
      <c r="T45" s="326">
        <v>2100</v>
      </c>
      <c r="U45" s="327">
        <v>5.8000000000000003E-2</v>
      </c>
      <c r="W45" s="219" t="s">
        <v>443</v>
      </c>
      <c r="X45" s="220" t="s">
        <v>313</v>
      </c>
      <c r="Y45" s="325">
        <v>18300</v>
      </c>
      <c r="Z45" s="325">
        <v>18500</v>
      </c>
      <c r="AA45" s="325">
        <v>17500</v>
      </c>
      <c r="AB45" s="326">
        <v>-200</v>
      </c>
      <c r="AC45" s="327">
        <v>-1.0800000000000001E-2</v>
      </c>
      <c r="AD45" s="326">
        <v>800</v>
      </c>
      <c r="AE45" s="327">
        <v>4.5699999999999998E-2</v>
      </c>
    </row>
    <row r="46" spans="1:31">
      <c r="A46" s="130" t="s">
        <v>93</v>
      </c>
      <c r="G46" s="128"/>
      <c r="I46" s="134"/>
      <c r="M46" s="224" t="s">
        <v>455</v>
      </c>
      <c r="N46" s="220" t="s">
        <v>456</v>
      </c>
      <c r="O46" s="326">
        <v>30000</v>
      </c>
      <c r="P46" s="326">
        <v>30100</v>
      </c>
      <c r="Q46" s="326">
        <v>29100</v>
      </c>
      <c r="R46" s="326">
        <v>-100</v>
      </c>
      <c r="S46" s="327">
        <v>-3.3E-3</v>
      </c>
      <c r="T46" s="326">
        <v>900</v>
      </c>
      <c r="U46" s="327">
        <v>3.09E-2</v>
      </c>
      <c r="W46" s="219" t="s">
        <v>572</v>
      </c>
      <c r="X46" s="220" t="s">
        <v>314</v>
      </c>
      <c r="Y46" s="325">
        <v>27700</v>
      </c>
      <c r="Z46" s="325">
        <v>26300</v>
      </c>
      <c r="AA46" s="325">
        <v>26100</v>
      </c>
      <c r="AB46" s="326">
        <v>1400</v>
      </c>
      <c r="AC46" s="327">
        <v>5.3199999999999997E-2</v>
      </c>
      <c r="AD46" s="326">
        <v>1600</v>
      </c>
      <c r="AE46" s="327">
        <v>6.13E-2</v>
      </c>
    </row>
    <row r="47" spans="1:31">
      <c r="A47" s="7" t="s">
        <v>124</v>
      </c>
      <c r="B47" s="83" t="s">
        <v>6</v>
      </c>
      <c r="C47" s="14">
        <f t="shared" ref="C47:C55" si="13">O73</f>
        <v>714100</v>
      </c>
      <c r="D47" s="14">
        <f t="shared" ref="D47:E49" si="14">P73</f>
        <v>712000</v>
      </c>
      <c r="E47" s="14">
        <f t="shared" si="14"/>
        <v>700400</v>
      </c>
      <c r="F47" s="14">
        <f t="shared" ref="F47:F55" si="15">R73</f>
        <v>2100</v>
      </c>
      <c r="G47" s="128">
        <f t="shared" ref="G47:G55" si="16">S73</f>
        <v>2.8999999999999998E-3</v>
      </c>
      <c r="H47" s="14">
        <f t="shared" ref="H47:H55" si="17">T73</f>
        <v>13700</v>
      </c>
      <c r="I47" s="128">
        <f t="shared" ref="I47:I55" si="18">U73</f>
        <v>1.9599999999999999E-2</v>
      </c>
      <c r="M47" s="219" t="s">
        <v>457</v>
      </c>
      <c r="N47" s="220" t="s">
        <v>9</v>
      </c>
      <c r="O47" s="326">
        <v>76300</v>
      </c>
      <c r="P47" s="326">
        <v>84400</v>
      </c>
      <c r="Q47" s="326">
        <v>75800</v>
      </c>
      <c r="R47" s="326">
        <v>-8100</v>
      </c>
      <c r="S47" s="327">
        <v>-9.6000000000000002E-2</v>
      </c>
      <c r="T47" s="326">
        <v>500</v>
      </c>
      <c r="U47" s="327">
        <v>6.6E-3</v>
      </c>
      <c r="W47" s="219" t="s">
        <v>457</v>
      </c>
      <c r="X47" s="220" t="s">
        <v>9</v>
      </c>
      <c r="Y47" s="325">
        <v>10800</v>
      </c>
      <c r="Z47" s="325">
        <v>11700</v>
      </c>
      <c r="AA47" s="325">
        <v>10700</v>
      </c>
      <c r="AB47" s="326">
        <v>-900</v>
      </c>
      <c r="AC47" s="327">
        <v>-7.6899999999999996E-2</v>
      </c>
      <c r="AD47" s="326">
        <v>100</v>
      </c>
      <c r="AE47" s="327">
        <v>9.2999999999999992E-3</v>
      </c>
    </row>
    <row r="48" spans="1:31">
      <c r="A48" s="7" t="s">
        <v>43</v>
      </c>
      <c r="B48" s="84" t="s">
        <v>220</v>
      </c>
      <c r="C48" s="14">
        <f t="shared" si="13"/>
        <v>624200</v>
      </c>
      <c r="D48" s="14">
        <f t="shared" si="14"/>
        <v>622300</v>
      </c>
      <c r="E48" s="14">
        <f t="shared" si="14"/>
        <v>613600</v>
      </c>
      <c r="F48" s="14">
        <f t="shared" si="15"/>
        <v>1900</v>
      </c>
      <c r="G48" s="128">
        <f t="shared" si="16"/>
        <v>3.0999999999999999E-3</v>
      </c>
      <c r="H48" s="14">
        <f t="shared" si="17"/>
        <v>10600</v>
      </c>
      <c r="I48" s="128">
        <f t="shared" si="18"/>
        <v>1.7299999999999999E-2</v>
      </c>
      <c r="M48" s="225" t="s">
        <v>38</v>
      </c>
      <c r="N48" s="220" t="s">
        <v>458</v>
      </c>
      <c r="O48" s="326">
        <v>16100</v>
      </c>
      <c r="P48" s="326">
        <v>18000</v>
      </c>
      <c r="Q48" s="326">
        <v>14700</v>
      </c>
      <c r="R48" s="326">
        <v>-1900</v>
      </c>
      <c r="S48" s="327">
        <v>-0.1056</v>
      </c>
      <c r="T48" s="326">
        <v>1400</v>
      </c>
      <c r="U48" s="327">
        <v>9.5200000000000007E-2</v>
      </c>
      <c r="W48" s="219" t="s">
        <v>469</v>
      </c>
      <c r="X48" s="220" t="s">
        <v>10</v>
      </c>
      <c r="Y48" s="325">
        <v>4700</v>
      </c>
      <c r="Z48" s="325">
        <v>4900</v>
      </c>
      <c r="AA48" s="325">
        <v>4800</v>
      </c>
      <c r="AB48" s="326">
        <v>-200</v>
      </c>
      <c r="AC48" s="327">
        <v>-4.0800000000000003E-2</v>
      </c>
      <c r="AD48" s="326">
        <v>-100</v>
      </c>
      <c r="AE48" s="327">
        <v>-2.0799999999999999E-2</v>
      </c>
    </row>
    <row r="49" spans="1:31">
      <c r="A49" s="7" t="s">
        <v>20</v>
      </c>
      <c r="B49" s="84" t="s">
        <v>222</v>
      </c>
      <c r="C49" s="14">
        <f t="shared" si="13"/>
        <v>103000</v>
      </c>
      <c r="D49" s="14">
        <f t="shared" si="14"/>
        <v>102400</v>
      </c>
      <c r="E49" s="14">
        <f t="shared" si="14"/>
        <v>103100</v>
      </c>
      <c r="F49" s="14">
        <f t="shared" si="15"/>
        <v>600</v>
      </c>
      <c r="G49" s="128">
        <f t="shared" si="16"/>
        <v>5.8999999999999999E-3</v>
      </c>
      <c r="H49" s="14">
        <f t="shared" si="17"/>
        <v>-100</v>
      </c>
      <c r="I49" s="128">
        <f t="shared" si="18"/>
        <v>-1E-3</v>
      </c>
      <c r="M49" s="224" t="s">
        <v>459</v>
      </c>
      <c r="N49" s="220" t="s">
        <v>460</v>
      </c>
      <c r="O49" s="326">
        <v>13100</v>
      </c>
      <c r="P49" s="326">
        <v>14500</v>
      </c>
      <c r="Q49" s="326">
        <v>12000</v>
      </c>
      <c r="R49" s="326">
        <v>-1400</v>
      </c>
      <c r="S49" s="327">
        <v>-9.6600000000000005E-2</v>
      </c>
      <c r="T49" s="326">
        <v>1100</v>
      </c>
      <c r="U49" s="327">
        <v>9.1700000000000004E-2</v>
      </c>
      <c r="W49" s="219" t="s">
        <v>172</v>
      </c>
      <c r="X49" s="220" t="s">
        <v>11</v>
      </c>
      <c r="Y49" s="325">
        <v>12500</v>
      </c>
      <c r="Z49" s="325">
        <v>11200</v>
      </c>
      <c r="AA49" s="325">
        <v>12100</v>
      </c>
      <c r="AB49" s="326">
        <v>1300</v>
      </c>
      <c r="AC49" s="327">
        <v>0.11609999999999999</v>
      </c>
      <c r="AD49" s="326">
        <v>400</v>
      </c>
      <c r="AE49" s="327">
        <v>3.3099999999999997E-2</v>
      </c>
    </row>
    <row r="50" spans="1:31">
      <c r="A50" s="7" t="s">
        <v>25</v>
      </c>
      <c r="B50" s="84" t="s">
        <v>223</v>
      </c>
      <c r="C50" s="14">
        <f t="shared" si="13"/>
        <v>611100</v>
      </c>
      <c r="D50" s="14">
        <f t="shared" ref="D50" si="19">P76</f>
        <v>609600</v>
      </c>
      <c r="E50" s="14">
        <f t="shared" ref="E50" si="20">Q76</f>
        <v>597300</v>
      </c>
      <c r="F50" s="14">
        <f t="shared" si="15"/>
        <v>1500</v>
      </c>
      <c r="G50" s="128">
        <f t="shared" si="16"/>
        <v>2.5000000000000001E-3</v>
      </c>
      <c r="H50" s="14">
        <f t="shared" si="17"/>
        <v>13800</v>
      </c>
      <c r="I50" s="128">
        <f t="shared" si="18"/>
        <v>2.3099999999999999E-2</v>
      </c>
      <c r="M50" s="225" t="s">
        <v>39</v>
      </c>
      <c r="N50" s="220" t="s">
        <v>461</v>
      </c>
      <c r="O50" s="326">
        <v>60200</v>
      </c>
      <c r="P50" s="326">
        <v>66400</v>
      </c>
      <c r="Q50" s="326">
        <v>61100</v>
      </c>
      <c r="R50" s="326">
        <v>-6200</v>
      </c>
      <c r="S50" s="327">
        <v>-9.3399999999999997E-2</v>
      </c>
      <c r="T50" s="326">
        <v>-900</v>
      </c>
      <c r="U50" s="327">
        <v>-1.47E-2</v>
      </c>
      <c r="W50" s="223" t="s">
        <v>45</v>
      </c>
      <c r="X50" s="220" t="s">
        <v>470</v>
      </c>
      <c r="Y50" s="325">
        <v>2900</v>
      </c>
      <c r="Z50" s="325">
        <v>2900</v>
      </c>
      <c r="AA50" s="325">
        <v>2900</v>
      </c>
      <c r="AB50" s="326">
        <v>0</v>
      </c>
      <c r="AC50" s="327">
        <v>0</v>
      </c>
      <c r="AD50" s="326">
        <v>0</v>
      </c>
      <c r="AE50" s="327">
        <v>0</v>
      </c>
    </row>
    <row r="51" spans="1:31">
      <c r="A51" s="7" t="s">
        <v>230</v>
      </c>
      <c r="B51" s="84" t="s">
        <v>229</v>
      </c>
      <c r="C51" s="14">
        <f t="shared" si="13"/>
        <v>521200.00000000006</v>
      </c>
      <c r="D51" s="14">
        <f t="shared" ref="D51:D55" si="21">P77</f>
        <v>519900</v>
      </c>
      <c r="E51" s="14">
        <f t="shared" ref="E51:E55" si="22">Q77</f>
        <v>510500</v>
      </c>
      <c r="F51" s="14">
        <f t="shared" si="15"/>
        <v>1300.0000000000582</v>
      </c>
      <c r="G51" s="128">
        <f t="shared" si="16"/>
        <v>2.5000000000000001E-3</v>
      </c>
      <c r="H51" s="14">
        <f t="shared" si="17"/>
        <v>10700.000000000058</v>
      </c>
      <c r="I51" s="128">
        <f t="shared" si="18"/>
        <v>2.1000000000000001E-2</v>
      </c>
      <c r="M51" s="224" t="s">
        <v>462</v>
      </c>
      <c r="N51" s="220" t="s">
        <v>463</v>
      </c>
      <c r="O51" s="326">
        <v>8500</v>
      </c>
      <c r="P51" s="326">
        <v>10400</v>
      </c>
      <c r="Q51" s="326">
        <v>8900</v>
      </c>
      <c r="R51" s="326">
        <v>-1900</v>
      </c>
      <c r="S51" s="327">
        <v>-0.1827</v>
      </c>
      <c r="T51" s="326">
        <v>-400</v>
      </c>
      <c r="U51" s="327">
        <v>-4.4900000000000002E-2</v>
      </c>
      <c r="W51" s="225" t="s">
        <v>46</v>
      </c>
      <c r="X51" s="220" t="s">
        <v>473</v>
      </c>
      <c r="Y51" s="325">
        <v>1700</v>
      </c>
      <c r="Z51" s="325">
        <v>1400</v>
      </c>
      <c r="AA51" s="325">
        <v>1600</v>
      </c>
      <c r="AB51" s="326">
        <v>300</v>
      </c>
      <c r="AC51" s="327">
        <v>0.21429999999999999</v>
      </c>
      <c r="AD51" s="326">
        <v>100</v>
      </c>
      <c r="AE51" s="327">
        <v>6.25E-2</v>
      </c>
    </row>
    <row r="52" spans="1:31">
      <c r="A52" s="7" t="s">
        <v>132</v>
      </c>
      <c r="B52" s="84">
        <v>15000000</v>
      </c>
      <c r="C52" s="14">
        <f t="shared" si="13"/>
        <v>32900</v>
      </c>
      <c r="D52" s="14">
        <f t="shared" si="21"/>
        <v>32700.000000000004</v>
      </c>
      <c r="E52" s="14">
        <f t="shared" si="22"/>
        <v>32400</v>
      </c>
      <c r="F52" s="14">
        <f t="shared" si="15"/>
        <v>199.99999999999636</v>
      </c>
      <c r="G52" s="128">
        <f t="shared" si="16"/>
        <v>6.1000000000000004E-3</v>
      </c>
      <c r="H52" s="14">
        <f t="shared" si="17"/>
        <v>500</v>
      </c>
      <c r="I52" s="128">
        <f t="shared" si="18"/>
        <v>1.54E-2</v>
      </c>
      <c r="M52" s="224" t="s">
        <v>464</v>
      </c>
      <c r="N52" s="220" t="s">
        <v>465</v>
      </c>
      <c r="O52" s="326">
        <v>51700</v>
      </c>
      <c r="P52" s="326">
        <v>56000</v>
      </c>
      <c r="Q52" s="326">
        <v>52200</v>
      </c>
      <c r="R52" s="326">
        <v>-4300</v>
      </c>
      <c r="S52" s="327">
        <v>-7.6799999999999993E-2</v>
      </c>
      <c r="T52" s="326">
        <v>-500</v>
      </c>
      <c r="U52" s="327">
        <v>-9.5999999999999992E-3</v>
      </c>
      <c r="W52" s="225" t="s">
        <v>47</v>
      </c>
      <c r="X52" s="220" t="s">
        <v>478</v>
      </c>
      <c r="Y52" s="325">
        <v>7900</v>
      </c>
      <c r="Z52" s="325">
        <v>6900</v>
      </c>
      <c r="AA52" s="325">
        <v>7600</v>
      </c>
      <c r="AB52" s="326">
        <v>1000</v>
      </c>
      <c r="AC52" s="327">
        <v>0.1449</v>
      </c>
      <c r="AD52" s="326">
        <v>300</v>
      </c>
      <c r="AE52" s="327">
        <v>3.95E-2</v>
      </c>
    </row>
    <row r="53" spans="1:31">
      <c r="A53" s="7" t="s">
        <v>219</v>
      </c>
      <c r="B53" s="84" t="s">
        <v>231</v>
      </c>
      <c r="C53" s="14">
        <f t="shared" si="13"/>
        <v>900</v>
      </c>
      <c r="D53" s="14">
        <f t="shared" si="21"/>
        <v>900</v>
      </c>
      <c r="E53" s="14">
        <f t="shared" si="22"/>
        <v>900</v>
      </c>
      <c r="F53" s="14">
        <f t="shared" si="15"/>
        <v>0</v>
      </c>
      <c r="G53" s="128">
        <f t="shared" si="16"/>
        <v>0</v>
      </c>
      <c r="H53" s="14">
        <f t="shared" si="17"/>
        <v>0</v>
      </c>
      <c r="I53" s="128">
        <f t="shared" si="18"/>
        <v>0</v>
      </c>
      <c r="M53" s="224" t="s">
        <v>551</v>
      </c>
      <c r="N53" s="220" t="s">
        <v>582</v>
      </c>
      <c r="O53" s="326">
        <v>49400</v>
      </c>
      <c r="P53" s="326">
        <v>53400</v>
      </c>
      <c r="Q53" s="326">
        <v>49500</v>
      </c>
      <c r="R53" s="326">
        <v>-4000</v>
      </c>
      <c r="S53" s="327">
        <v>-7.4899999999999994E-2</v>
      </c>
      <c r="T53" s="326">
        <v>-100</v>
      </c>
      <c r="U53" s="327">
        <v>-2E-3</v>
      </c>
      <c r="W53" s="224" t="s">
        <v>479</v>
      </c>
      <c r="X53" s="227" t="s">
        <v>480</v>
      </c>
      <c r="Y53" s="328">
        <v>4600</v>
      </c>
      <c r="Z53" s="328">
        <v>3700</v>
      </c>
      <c r="AA53" s="328">
        <v>4500</v>
      </c>
      <c r="AB53" s="328">
        <v>900</v>
      </c>
      <c r="AC53" s="329">
        <v>0.2432</v>
      </c>
      <c r="AD53" s="328">
        <v>100</v>
      </c>
      <c r="AE53" s="329">
        <v>2.2200000000000001E-2</v>
      </c>
    </row>
    <row r="54" spans="1:31">
      <c r="A54" s="7" t="s">
        <v>23</v>
      </c>
      <c r="B54" s="83">
        <v>20000000</v>
      </c>
      <c r="C54" s="14">
        <f t="shared" si="13"/>
        <v>32000</v>
      </c>
      <c r="D54" s="14">
        <f t="shared" si="21"/>
        <v>31800</v>
      </c>
      <c r="E54" s="14">
        <f t="shared" si="22"/>
        <v>31500</v>
      </c>
      <c r="F54" s="14">
        <f t="shared" si="15"/>
        <v>200</v>
      </c>
      <c r="G54" s="128">
        <f t="shared" si="16"/>
        <v>6.3E-3</v>
      </c>
      <c r="H54" s="14">
        <f t="shared" si="17"/>
        <v>500</v>
      </c>
      <c r="I54" s="128">
        <f t="shared" si="18"/>
        <v>1.5900000000000001E-2</v>
      </c>
      <c r="M54" s="226" t="s">
        <v>466</v>
      </c>
      <c r="N54" s="220" t="s">
        <v>467</v>
      </c>
      <c r="O54" s="326">
        <v>29200</v>
      </c>
      <c r="P54" s="326">
        <v>31400</v>
      </c>
      <c r="Q54" s="326">
        <v>28300</v>
      </c>
      <c r="R54" s="326">
        <v>-2200</v>
      </c>
      <c r="S54" s="327">
        <v>-7.0099999999999996E-2</v>
      </c>
      <c r="T54" s="326">
        <v>900</v>
      </c>
      <c r="U54" s="327">
        <v>3.1800000000000002E-2</v>
      </c>
      <c r="W54" s="224" t="s">
        <v>481</v>
      </c>
      <c r="X54" s="227" t="s">
        <v>482</v>
      </c>
      <c r="Y54" s="328">
        <v>3300</v>
      </c>
      <c r="Z54" s="328">
        <v>3200</v>
      </c>
      <c r="AA54" s="328">
        <v>3100</v>
      </c>
      <c r="AB54" s="328">
        <v>100</v>
      </c>
      <c r="AC54" s="329">
        <v>3.1300000000000001E-2</v>
      </c>
      <c r="AD54" s="328">
        <v>200</v>
      </c>
      <c r="AE54" s="329">
        <v>6.4500000000000002E-2</v>
      </c>
    </row>
    <row r="55" spans="1:31">
      <c r="A55" s="7" t="s">
        <v>125</v>
      </c>
      <c r="B55" s="83" t="s">
        <v>7</v>
      </c>
      <c r="C55" s="14">
        <f t="shared" si="13"/>
        <v>70100</v>
      </c>
      <c r="D55" s="14">
        <f t="shared" si="21"/>
        <v>69700</v>
      </c>
      <c r="E55" s="14">
        <f t="shared" si="22"/>
        <v>70700</v>
      </c>
      <c r="F55" s="14">
        <f t="shared" si="15"/>
        <v>400</v>
      </c>
      <c r="G55" s="128">
        <f t="shared" si="16"/>
        <v>5.7000000000000002E-3</v>
      </c>
      <c r="H55" s="14">
        <f t="shared" si="17"/>
        <v>-600</v>
      </c>
      <c r="I55" s="128">
        <f t="shared" si="18"/>
        <v>-8.5000000000000006E-3</v>
      </c>
      <c r="M55" s="226" t="s">
        <v>583</v>
      </c>
      <c r="N55" s="220" t="s">
        <v>468</v>
      </c>
      <c r="O55" s="326">
        <v>20200</v>
      </c>
      <c r="P55" s="326">
        <v>22000</v>
      </c>
      <c r="Q55" s="326">
        <v>21200</v>
      </c>
      <c r="R55" s="326">
        <v>-1800</v>
      </c>
      <c r="S55" s="327">
        <v>-8.1799999999999998E-2</v>
      </c>
      <c r="T55" s="326">
        <v>-1000</v>
      </c>
      <c r="U55" s="327">
        <v>-4.7199999999999999E-2</v>
      </c>
    </row>
    <row r="56" spans="1:31">
      <c r="A56" s="7" t="s">
        <v>232</v>
      </c>
      <c r="B56" s="83">
        <v>40000000</v>
      </c>
      <c r="C56" s="14">
        <f t="shared" ref="C56:I61" si="23">O84</f>
        <v>140000</v>
      </c>
      <c r="D56" s="14">
        <f t="shared" si="23"/>
        <v>140000</v>
      </c>
      <c r="E56" s="14">
        <f t="shared" si="23"/>
        <v>140700</v>
      </c>
      <c r="F56" s="14">
        <f t="shared" si="23"/>
        <v>0</v>
      </c>
      <c r="G56" s="128">
        <f t="shared" si="23"/>
        <v>0</v>
      </c>
      <c r="H56" s="14">
        <f t="shared" si="23"/>
        <v>-700</v>
      </c>
      <c r="I56" s="128">
        <f t="shared" si="23"/>
        <v>-5.0000000000000001E-3</v>
      </c>
      <c r="M56" s="219" t="s">
        <v>469</v>
      </c>
      <c r="N56" s="220" t="s">
        <v>10</v>
      </c>
      <c r="O56" s="326">
        <v>25300</v>
      </c>
      <c r="P56" s="326">
        <v>26300</v>
      </c>
      <c r="Q56" s="326">
        <v>24900</v>
      </c>
      <c r="R56" s="326">
        <v>-1000</v>
      </c>
      <c r="S56" s="327">
        <v>-3.7999999999999999E-2</v>
      </c>
      <c r="T56" s="326">
        <v>400</v>
      </c>
      <c r="U56" s="327">
        <v>1.61E-2</v>
      </c>
    </row>
    <row r="57" spans="1:31">
      <c r="A57" s="7" t="s">
        <v>126</v>
      </c>
      <c r="B57" s="83" t="s">
        <v>12</v>
      </c>
      <c r="C57" s="14">
        <f t="shared" si="23"/>
        <v>30900</v>
      </c>
      <c r="D57" s="14">
        <f t="shared" si="23"/>
        <v>30800</v>
      </c>
      <c r="E57" s="14">
        <f t="shared" si="23"/>
        <v>31400</v>
      </c>
      <c r="F57" s="14">
        <f t="shared" si="23"/>
        <v>100</v>
      </c>
      <c r="G57" s="128">
        <f t="shared" si="23"/>
        <v>3.2000000000000002E-3</v>
      </c>
      <c r="H57" s="14">
        <f t="shared" si="23"/>
        <v>-500</v>
      </c>
      <c r="I57" s="128">
        <f t="shared" si="23"/>
        <v>-1.5900000000000001E-2</v>
      </c>
      <c r="M57" s="219" t="s">
        <v>172</v>
      </c>
      <c r="N57" s="220" t="s">
        <v>11</v>
      </c>
      <c r="O57" s="326">
        <v>91400</v>
      </c>
      <c r="P57" s="326">
        <v>80900</v>
      </c>
      <c r="Q57" s="326">
        <v>88400</v>
      </c>
      <c r="R57" s="326">
        <v>10500</v>
      </c>
      <c r="S57" s="327">
        <v>0.1298</v>
      </c>
      <c r="T57" s="326">
        <v>3000</v>
      </c>
      <c r="U57" s="327">
        <v>3.39E-2</v>
      </c>
      <c r="W57" s="357" t="s">
        <v>487</v>
      </c>
      <c r="X57" s="357"/>
      <c r="Y57" s="357"/>
      <c r="Z57" s="357"/>
      <c r="AA57" s="357"/>
      <c r="AB57" s="357"/>
      <c r="AC57" s="357"/>
      <c r="AD57" s="357"/>
      <c r="AE57" s="357"/>
    </row>
    <row r="58" spans="1:31">
      <c r="A58" s="7" t="s">
        <v>127</v>
      </c>
      <c r="B58" s="83" t="s">
        <v>8</v>
      </c>
      <c r="C58" s="14">
        <f t="shared" si="23"/>
        <v>90400</v>
      </c>
      <c r="D58" s="14">
        <f t="shared" si="23"/>
        <v>90400</v>
      </c>
      <c r="E58" s="14">
        <f t="shared" si="23"/>
        <v>90700</v>
      </c>
      <c r="F58" s="14">
        <f t="shared" si="23"/>
        <v>0</v>
      </c>
      <c r="G58" s="128">
        <f t="shared" si="23"/>
        <v>0</v>
      </c>
      <c r="H58" s="14">
        <f t="shared" si="23"/>
        <v>-300</v>
      </c>
      <c r="I58" s="128">
        <f t="shared" si="23"/>
        <v>-3.3E-3</v>
      </c>
      <c r="M58" s="225" t="s">
        <v>45</v>
      </c>
      <c r="N58" s="220" t="s">
        <v>470</v>
      </c>
      <c r="O58" s="326">
        <v>9100</v>
      </c>
      <c r="P58" s="326">
        <v>9100</v>
      </c>
      <c r="Q58" s="326">
        <v>8800</v>
      </c>
      <c r="R58" s="326">
        <v>0</v>
      </c>
      <c r="S58" s="327">
        <v>0</v>
      </c>
      <c r="T58" s="326">
        <v>300</v>
      </c>
      <c r="U58" s="327">
        <v>3.4099999999999998E-2</v>
      </c>
      <c r="W58" s="381" t="s">
        <v>407</v>
      </c>
      <c r="X58" s="120" t="s">
        <v>408</v>
      </c>
      <c r="Y58" s="377" t="s">
        <v>64</v>
      </c>
      <c r="Z58" s="379" t="s">
        <v>409</v>
      </c>
      <c r="AA58" s="378" t="s">
        <v>409</v>
      </c>
      <c r="AB58" s="377" t="s">
        <v>410</v>
      </c>
      <c r="AC58" s="378"/>
      <c r="AD58" s="379" t="s">
        <v>411</v>
      </c>
      <c r="AE58" s="379"/>
    </row>
    <row r="59" spans="1:31">
      <c r="A59" s="7" t="s">
        <v>134</v>
      </c>
      <c r="B59" s="83" t="s">
        <v>13</v>
      </c>
      <c r="C59" s="14">
        <f t="shared" si="23"/>
        <v>18700</v>
      </c>
      <c r="D59" s="14">
        <f t="shared" si="23"/>
        <v>18800</v>
      </c>
      <c r="E59" s="14">
        <f t="shared" si="23"/>
        <v>18600</v>
      </c>
      <c r="F59" s="14">
        <f t="shared" si="23"/>
        <v>-100</v>
      </c>
      <c r="G59" s="128">
        <f t="shared" si="23"/>
        <v>-5.3E-3</v>
      </c>
      <c r="H59" s="14">
        <f t="shared" si="23"/>
        <v>100</v>
      </c>
      <c r="I59" s="128">
        <f t="shared" si="23"/>
        <v>5.4000000000000003E-3</v>
      </c>
      <c r="M59" s="224" t="s">
        <v>471</v>
      </c>
      <c r="N59" s="227" t="s">
        <v>472</v>
      </c>
      <c r="O59" s="328">
        <v>3300</v>
      </c>
      <c r="P59" s="326">
        <v>3300</v>
      </c>
      <c r="Q59" s="326">
        <v>3300</v>
      </c>
      <c r="R59" s="326">
        <v>0</v>
      </c>
      <c r="S59" s="327">
        <v>0</v>
      </c>
      <c r="T59" s="326">
        <v>0</v>
      </c>
      <c r="U59" s="327">
        <v>0</v>
      </c>
      <c r="W59" s="381"/>
      <c r="X59" s="121" t="s">
        <v>412</v>
      </c>
      <c r="Y59" s="319">
        <v>45536</v>
      </c>
      <c r="Z59" s="320">
        <v>45505</v>
      </c>
      <c r="AA59" s="321">
        <v>45170</v>
      </c>
      <c r="AB59" s="322" t="s">
        <v>413</v>
      </c>
      <c r="AC59" s="323" t="s">
        <v>414</v>
      </c>
      <c r="AD59" s="324" t="s">
        <v>413</v>
      </c>
      <c r="AE59" s="324" t="s">
        <v>414</v>
      </c>
    </row>
    <row r="60" spans="1:31">
      <c r="A60" s="7" t="s">
        <v>30</v>
      </c>
      <c r="B60" s="83">
        <v>50000000</v>
      </c>
      <c r="C60" s="14">
        <f t="shared" si="23"/>
        <v>11500</v>
      </c>
      <c r="D60" s="14">
        <f t="shared" si="23"/>
        <v>11500</v>
      </c>
      <c r="E60" s="14">
        <f t="shared" si="23"/>
        <v>11800</v>
      </c>
      <c r="F60" s="14">
        <f t="shared" si="23"/>
        <v>0</v>
      </c>
      <c r="G60" s="128">
        <f t="shared" si="23"/>
        <v>0</v>
      </c>
      <c r="H60" s="14">
        <f t="shared" si="23"/>
        <v>-300</v>
      </c>
      <c r="I60" s="128">
        <f t="shared" si="23"/>
        <v>-2.5399999999999999E-2</v>
      </c>
      <c r="M60" s="223" t="s">
        <v>46</v>
      </c>
      <c r="N60" s="220" t="s">
        <v>473</v>
      </c>
      <c r="O60" s="326">
        <v>23300</v>
      </c>
      <c r="P60" s="326">
        <v>20900</v>
      </c>
      <c r="Q60" s="326">
        <v>22900</v>
      </c>
      <c r="R60" s="326">
        <v>2400</v>
      </c>
      <c r="S60" s="327">
        <v>0.1148</v>
      </c>
      <c r="T60" s="326">
        <v>400</v>
      </c>
      <c r="U60" s="327">
        <v>1.7500000000000002E-2</v>
      </c>
      <c r="W60" s="219" t="s">
        <v>415</v>
      </c>
      <c r="X60" s="220" t="s">
        <v>6</v>
      </c>
      <c r="Y60" s="325">
        <v>133100</v>
      </c>
      <c r="Z60" s="325">
        <v>132000</v>
      </c>
      <c r="AA60" s="325">
        <v>131100</v>
      </c>
      <c r="AB60" s="326">
        <v>1100</v>
      </c>
      <c r="AC60" s="327">
        <v>8.3000000000000001E-3</v>
      </c>
      <c r="AD60" s="326">
        <v>2000</v>
      </c>
      <c r="AE60" s="327">
        <v>1.5299999999999999E-2</v>
      </c>
    </row>
    <row r="61" spans="1:31">
      <c r="A61" s="7" t="s">
        <v>221</v>
      </c>
      <c r="B61" s="83">
        <v>55000000</v>
      </c>
      <c r="C61" s="14">
        <f t="shared" si="23"/>
        <v>34400</v>
      </c>
      <c r="D61" s="14">
        <f t="shared" si="23"/>
        <v>34300</v>
      </c>
      <c r="E61" s="14">
        <f t="shared" si="23"/>
        <v>34600</v>
      </c>
      <c r="F61" s="14">
        <f t="shared" si="23"/>
        <v>100</v>
      </c>
      <c r="G61" s="128">
        <f t="shared" si="23"/>
        <v>2.8999999999999998E-3</v>
      </c>
      <c r="H61" s="14">
        <f t="shared" si="23"/>
        <v>-200</v>
      </c>
      <c r="I61" s="128">
        <f t="shared" si="23"/>
        <v>-5.7999999999999996E-3</v>
      </c>
      <c r="M61" s="224" t="s">
        <v>474</v>
      </c>
      <c r="N61" s="220" t="s">
        <v>475</v>
      </c>
      <c r="O61" s="326">
        <v>10100</v>
      </c>
      <c r="P61" s="326">
        <v>7300</v>
      </c>
      <c r="Q61" s="326">
        <v>10200</v>
      </c>
      <c r="R61" s="326">
        <v>2800</v>
      </c>
      <c r="S61" s="327">
        <v>0.3836</v>
      </c>
      <c r="T61" s="326">
        <v>-100</v>
      </c>
      <c r="U61" s="327">
        <v>-9.7999999999999997E-3</v>
      </c>
      <c r="W61" s="219" t="s">
        <v>43</v>
      </c>
      <c r="X61" s="220" t="s">
        <v>220</v>
      </c>
      <c r="Y61" s="325">
        <v>119700</v>
      </c>
      <c r="Z61" s="325">
        <v>121100</v>
      </c>
      <c r="AA61" s="325">
        <v>117800</v>
      </c>
      <c r="AB61" s="326">
        <v>-1400</v>
      </c>
      <c r="AC61" s="327">
        <v>-1.1599999999999999E-2</v>
      </c>
      <c r="AD61" s="326">
        <v>1900</v>
      </c>
      <c r="AE61" s="327">
        <v>1.61E-2</v>
      </c>
    </row>
    <row r="62" spans="1:31">
      <c r="A62" s="7" t="s">
        <v>129</v>
      </c>
      <c r="B62" s="83">
        <v>60000000</v>
      </c>
      <c r="C62" s="14">
        <f t="shared" ref="C62:I62" si="24">O92</f>
        <v>101300</v>
      </c>
      <c r="D62" s="14">
        <f t="shared" si="24"/>
        <v>101400</v>
      </c>
      <c r="E62" s="14">
        <f t="shared" si="24"/>
        <v>98200</v>
      </c>
      <c r="F62" s="14">
        <f t="shared" si="24"/>
        <v>-100</v>
      </c>
      <c r="G62" s="128">
        <f t="shared" si="24"/>
        <v>-1E-3</v>
      </c>
      <c r="H62" s="14">
        <f t="shared" si="24"/>
        <v>3100</v>
      </c>
      <c r="I62" s="128">
        <f t="shared" si="24"/>
        <v>3.1600000000000003E-2</v>
      </c>
      <c r="M62" s="224" t="s">
        <v>476</v>
      </c>
      <c r="N62" s="220" t="s">
        <v>477</v>
      </c>
      <c r="O62" s="326">
        <v>13200</v>
      </c>
      <c r="P62" s="326">
        <v>13600</v>
      </c>
      <c r="Q62" s="326">
        <v>12700</v>
      </c>
      <c r="R62" s="326">
        <v>-400</v>
      </c>
      <c r="S62" s="327">
        <v>-2.9399999999999999E-2</v>
      </c>
      <c r="T62" s="326">
        <v>500</v>
      </c>
      <c r="U62" s="327">
        <v>3.9399999999999998E-2</v>
      </c>
      <c r="W62" s="219" t="s">
        <v>416</v>
      </c>
      <c r="X62" s="220" t="s">
        <v>222</v>
      </c>
      <c r="Y62" s="325">
        <v>27900</v>
      </c>
      <c r="Z62" s="325">
        <v>28000</v>
      </c>
      <c r="AA62" s="325">
        <v>27900</v>
      </c>
      <c r="AB62" s="326">
        <v>-100</v>
      </c>
      <c r="AC62" s="327">
        <v>-3.5999999999999999E-3</v>
      </c>
      <c r="AD62" s="326">
        <v>0</v>
      </c>
      <c r="AE62" s="327">
        <v>0</v>
      </c>
    </row>
    <row r="63" spans="1:31">
      <c r="A63" s="7" t="s">
        <v>133</v>
      </c>
      <c r="B63" s="83">
        <v>65000000</v>
      </c>
      <c r="C63" s="14">
        <f t="shared" ref="C63:I63" si="25">O96</f>
        <v>134200</v>
      </c>
      <c r="D63" s="14">
        <f t="shared" si="25"/>
        <v>133300</v>
      </c>
      <c r="E63" s="14">
        <f t="shared" si="25"/>
        <v>126400</v>
      </c>
      <c r="F63" s="14">
        <f t="shared" si="25"/>
        <v>900</v>
      </c>
      <c r="G63" s="128">
        <f t="shared" si="25"/>
        <v>6.7999999999999996E-3</v>
      </c>
      <c r="H63" s="14">
        <f t="shared" si="25"/>
        <v>7800</v>
      </c>
      <c r="I63" s="128">
        <f t="shared" si="25"/>
        <v>6.1699999999999998E-2</v>
      </c>
      <c r="M63" s="225" t="s">
        <v>47</v>
      </c>
      <c r="N63" s="220" t="s">
        <v>478</v>
      </c>
      <c r="O63" s="326">
        <v>59000</v>
      </c>
      <c r="P63" s="326">
        <v>50900</v>
      </c>
      <c r="Q63" s="326">
        <v>56700</v>
      </c>
      <c r="R63" s="326">
        <v>8100</v>
      </c>
      <c r="S63" s="327">
        <v>0.15909999999999999</v>
      </c>
      <c r="T63" s="326">
        <v>2300</v>
      </c>
      <c r="U63" s="327">
        <v>4.0599999999999997E-2</v>
      </c>
      <c r="W63" s="219" t="s">
        <v>417</v>
      </c>
      <c r="X63" s="220" t="s">
        <v>223</v>
      </c>
      <c r="Y63" s="325">
        <v>105200</v>
      </c>
      <c r="Z63" s="325">
        <v>104000</v>
      </c>
      <c r="AA63" s="325">
        <v>103200</v>
      </c>
      <c r="AB63" s="326">
        <v>1200</v>
      </c>
      <c r="AC63" s="327">
        <v>1.15E-2</v>
      </c>
      <c r="AD63" s="326">
        <v>2000</v>
      </c>
      <c r="AE63" s="327">
        <v>1.9400000000000001E-2</v>
      </c>
    </row>
    <row r="64" spans="1:31">
      <c r="A64" s="7" t="s">
        <v>128</v>
      </c>
      <c r="B64" s="83" t="s">
        <v>9</v>
      </c>
      <c r="C64" s="14">
        <f t="shared" ref="C64:I64" si="26">O99</f>
        <v>74500</v>
      </c>
      <c r="D64" s="14">
        <f t="shared" si="26"/>
        <v>74100</v>
      </c>
      <c r="E64" s="14">
        <f t="shared" si="26"/>
        <v>73900</v>
      </c>
      <c r="F64" s="14">
        <f t="shared" si="26"/>
        <v>400</v>
      </c>
      <c r="G64" s="128">
        <f t="shared" si="26"/>
        <v>5.4000000000000003E-3</v>
      </c>
      <c r="H64" s="14">
        <f t="shared" si="26"/>
        <v>600</v>
      </c>
      <c r="I64" s="128">
        <f t="shared" si="26"/>
        <v>8.0999999999999996E-3</v>
      </c>
      <c r="M64" s="224" t="s">
        <v>479</v>
      </c>
      <c r="N64" s="227" t="s">
        <v>480</v>
      </c>
      <c r="O64" s="328">
        <v>34400</v>
      </c>
      <c r="P64" s="328">
        <v>26600</v>
      </c>
      <c r="Q64" s="328">
        <v>34100</v>
      </c>
      <c r="R64" s="328">
        <v>7800</v>
      </c>
      <c r="S64" s="329">
        <v>0.29320000000000002</v>
      </c>
      <c r="T64" s="328">
        <v>300</v>
      </c>
      <c r="U64" s="329">
        <v>8.8000000000000005E-3</v>
      </c>
      <c r="W64" s="219" t="s">
        <v>418</v>
      </c>
      <c r="X64" s="220" t="s">
        <v>229</v>
      </c>
      <c r="Y64" s="325">
        <v>91800</v>
      </c>
      <c r="Z64" s="325">
        <v>93100</v>
      </c>
      <c r="AA64" s="325">
        <v>89900</v>
      </c>
      <c r="AB64" s="326">
        <v>-1300</v>
      </c>
      <c r="AC64" s="327">
        <v>-1.4E-2</v>
      </c>
      <c r="AD64" s="326">
        <v>1900</v>
      </c>
      <c r="AE64" s="327">
        <v>2.1100000000000001E-2</v>
      </c>
    </row>
    <row r="65" spans="1:31">
      <c r="A65" s="7" t="s">
        <v>130</v>
      </c>
      <c r="B65" s="83" t="s">
        <v>10</v>
      </c>
      <c r="C65" s="14">
        <f t="shared" ref="C65:I66" si="27">O102</f>
        <v>25300</v>
      </c>
      <c r="D65" s="14">
        <f t="shared" si="27"/>
        <v>25300</v>
      </c>
      <c r="E65" s="14">
        <f t="shared" si="27"/>
        <v>24900</v>
      </c>
      <c r="F65" s="14">
        <f t="shared" si="27"/>
        <v>0</v>
      </c>
      <c r="G65" s="128">
        <f t="shared" si="27"/>
        <v>0</v>
      </c>
      <c r="H65" s="14">
        <f t="shared" si="27"/>
        <v>400</v>
      </c>
      <c r="I65" s="128">
        <f t="shared" si="27"/>
        <v>1.61E-2</v>
      </c>
      <c r="M65" s="224" t="s">
        <v>481</v>
      </c>
      <c r="N65" s="227" t="s">
        <v>482</v>
      </c>
      <c r="O65" s="328">
        <v>24600</v>
      </c>
      <c r="P65" s="328">
        <v>24300</v>
      </c>
      <c r="Q65" s="328">
        <v>22600</v>
      </c>
      <c r="R65" s="328">
        <v>300</v>
      </c>
      <c r="S65" s="329">
        <v>1.23E-2</v>
      </c>
      <c r="T65" s="328">
        <v>2000</v>
      </c>
      <c r="U65" s="329">
        <v>8.8499999999999995E-2</v>
      </c>
      <c r="W65" s="219" t="s">
        <v>485</v>
      </c>
      <c r="X65" s="220" t="s">
        <v>315</v>
      </c>
      <c r="Y65" s="325">
        <v>6500</v>
      </c>
      <c r="Z65" s="325">
        <v>6600</v>
      </c>
      <c r="AA65" s="325">
        <v>6200</v>
      </c>
      <c r="AB65" s="326">
        <v>-100</v>
      </c>
      <c r="AC65" s="327">
        <v>-1.52E-2</v>
      </c>
      <c r="AD65" s="326">
        <v>300</v>
      </c>
      <c r="AE65" s="327">
        <v>4.8399999999999999E-2</v>
      </c>
    </row>
    <row r="66" spans="1:31">
      <c r="A66" s="7" t="s">
        <v>131</v>
      </c>
      <c r="B66" s="83" t="s">
        <v>11</v>
      </c>
      <c r="C66" s="14">
        <f t="shared" si="27"/>
        <v>89900</v>
      </c>
      <c r="D66" s="14">
        <f t="shared" si="27"/>
        <v>89700</v>
      </c>
      <c r="E66" s="14">
        <f t="shared" si="27"/>
        <v>86800</v>
      </c>
      <c r="F66" s="14">
        <f t="shared" si="27"/>
        <v>200</v>
      </c>
      <c r="G66" s="128">
        <f t="shared" si="27"/>
        <v>2.2000000000000001E-3</v>
      </c>
      <c r="H66" s="14">
        <f t="shared" si="27"/>
        <v>3100</v>
      </c>
      <c r="I66" s="128">
        <f t="shared" si="27"/>
        <v>3.5700000000000003E-2</v>
      </c>
      <c r="W66" s="219" t="s">
        <v>24</v>
      </c>
      <c r="X66" s="220" t="s">
        <v>7</v>
      </c>
      <c r="Y66" s="325">
        <v>21400</v>
      </c>
      <c r="Z66" s="325">
        <v>21400</v>
      </c>
      <c r="AA66" s="325">
        <v>21700</v>
      </c>
      <c r="AB66" s="326">
        <v>0</v>
      </c>
      <c r="AC66" s="327">
        <v>0</v>
      </c>
      <c r="AD66" s="326">
        <v>-300</v>
      </c>
      <c r="AE66" s="327">
        <v>-1.38E-2</v>
      </c>
    </row>
    <row r="67" spans="1:31">
      <c r="A67" s="130" t="s">
        <v>514</v>
      </c>
      <c r="G67" s="134"/>
      <c r="I67" s="134"/>
      <c r="W67" s="223" t="s">
        <v>423</v>
      </c>
      <c r="X67" s="220" t="s">
        <v>424</v>
      </c>
      <c r="Y67" s="325">
        <v>17500</v>
      </c>
      <c r="Z67" s="325">
        <v>17500</v>
      </c>
      <c r="AA67" s="325">
        <v>17700</v>
      </c>
      <c r="AB67" s="326">
        <v>0</v>
      </c>
      <c r="AC67" s="327">
        <v>0</v>
      </c>
      <c r="AD67" s="326">
        <v>-200</v>
      </c>
      <c r="AE67" s="327">
        <v>-1.1299999999999999E-2</v>
      </c>
    </row>
    <row r="68" spans="1:31">
      <c r="A68" s="7" t="s">
        <v>124</v>
      </c>
      <c r="B68" s="83" t="s">
        <v>6</v>
      </c>
      <c r="C68" s="14">
        <f t="shared" ref="C68:I73" si="28">Y4</f>
        <v>53100</v>
      </c>
      <c r="D68" s="14">
        <f t="shared" si="28"/>
        <v>51700</v>
      </c>
      <c r="E68" s="14">
        <f t="shared" si="28"/>
        <v>52700</v>
      </c>
      <c r="F68" s="14">
        <f t="shared" si="28"/>
        <v>1400</v>
      </c>
      <c r="G68" s="128">
        <f t="shared" si="28"/>
        <v>2.7099999999999999E-2</v>
      </c>
      <c r="H68" s="14">
        <f t="shared" si="28"/>
        <v>400</v>
      </c>
      <c r="I68" s="128">
        <f t="shared" si="28"/>
        <v>7.6E-3</v>
      </c>
      <c r="W68" s="234" t="s">
        <v>425</v>
      </c>
      <c r="X68" s="220" t="s">
        <v>426</v>
      </c>
      <c r="Y68" s="325">
        <v>10300</v>
      </c>
      <c r="Z68" s="325">
        <v>10300</v>
      </c>
      <c r="AA68" s="325">
        <v>10400</v>
      </c>
      <c r="AB68" s="326">
        <v>0</v>
      </c>
      <c r="AC68" s="327">
        <v>0</v>
      </c>
      <c r="AD68" s="326">
        <v>-100</v>
      </c>
      <c r="AE68" s="327">
        <v>-9.5999999999999992E-3</v>
      </c>
    </row>
    <row r="69" spans="1:31">
      <c r="A69" s="7" t="s">
        <v>43</v>
      </c>
      <c r="B69" s="84" t="s">
        <v>220</v>
      </c>
      <c r="C69" s="14">
        <f t="shared" si="28"/>
        <v>40600</v>
      </c>
      <c r="D69" s="14">
        <f t="shared" si="28"/>
        <v>41400</v>
      </c>
      <c r="E69" s="14">
        <f t="shared" si="28"/>
        <v>40300</v>
      </c>
      <c r="F69" s="14">
        <f t="shared" si="28"/>
        <v>-800</v>
      </c>
      <c r="G69" s="128">
        <f t="shared" si="28"/>
        <v>-1.9300000000000001E-2</v>
      </c>
      <c r="H69" s="14">
        <f t="shared" si="28"/>
        <v>300</v>
      </c>
      <c r="I69" s="128">
        <f t="shared" si="28"/>
        <v>7.4000000000000003E-3</v>
      </c>
      <c r="M69" s="357" t="s">
        <v>483</v>
      </c>
      <c r="N69" s="357"/>
      <c r="O69" s="357"/>
      <c r="P69" s="357"/>
      <c r="Q69" s="357"/>
      <c r="R69" s="357"/>
      <c r="S69" s="357"/>
      <c r="T69" s="357"/>
      <c r="U69" s="357"/>
      <c r="W69" s="219" t="s">
        <v>232</v>
      </c>
      <c r="X69" s="220" t="s">
        <v>310</v>
      </c>
      <c r="Y69" s="325">
        <v>26900</v>
      </c>
      <c r="Z69" s="325">
        <v>27300</v>
      </c>
      <c r="AA69" s="325">
        <v>26800</v>
      </c>
      <c r="AB69" s="326">
        <v>-400</v>
      </c>
      <c r="AC69" s="327">
        <v>-1.47E-2</v>
      </c>
      <c r="AD69" s="326">
        <v>100</v>
      </c>
      <c r="AE69" s="327">
        <v>3.7000000000000002E-3</v>
      </c>
    </row>
    <row r="70" spans="1:31">
      <c r="A70" s="7" t="s">
        <v>20</v>
      </c>
      <c r="B70" s="84" t="s">
        <v>222</v>
      </c>
      <c r="C70" s="14">
        <f t="shared" si="28"/>
        <v>7300</v>
      </c>
      <c r="D70" s="14">
        <f t="shared" si="28"/>
        <v>7300</v>
      </c>
      <c r="E70" s="14">
        <f t="shared" si="28"/>
        <v>7300</v>
      </c>
      <c r="F70" s="14">
        <f t="shared" si="28"/>
        <v>0</v>
      </c>
      <c r="G70" s="128">
        <f t="shared" si="28"/>
        <v>0</v>
      </c>
      <c r="H70" s="14">
        <f t="shared" si="28"/>
        <v>0</v>
      </c>
      <c r="I70" s="128">
        <f t="shared" si="28"/>
        <v>0</v>
      </c>
      <c r="M70" s="382" t="s">
        <v>489</v>
      </c>
      <c r="N70" s="382"/>
      <c r="O70" s="382"/>
      <c r="P70" s="382"/>
      <c r="Q70" s="382"/>
      <c r="R70" s="382"/>
      <c r="S70" s="382"/>
      <c r="T70" s="382"/>
      <c r="U70" s="382"/>
      <c r="W70" s="223" t="s">
        <v>27</v>
      </c>
      <c r="X70" s="220" t="s">
        <v>12</v>
      </c>
      <c r="Y70" s="325">
        <v>5600</v>
      </c>
      <c r="Z70" s="325">
        <v>5700</v>
      </c>
      <c r="AA70" s="325">
        <v>5600</v>
      </c>
      <c r="AB70" s="326">
        <v>-100</v>
      </c>
      <c r="AC70" s="327">
        <v>-1.7500000000000002E-2</v>
      </c>
      <c r="AD70" s="326">
        <v>0</v>
      </c>
      <c r="AE70" s="327">
        <v>0</v>
      </c>
    </row>
    <row r="71" spans="1:31">
      <c r="A71" s="7" t="s">
        <v>25</v>
      </c>
      <c r="B71" s="84" t="s">
        <v>223</v>
      </c>
      <c r="C71" s="14">
        <f t="shared" si="28"/>
        <v>45800</v>
      </c>
      <c r="D71" s="14">
        <f t="shared" si="28"/>
        <v>44400</v>
      </c>
      <c r="E71" s="14">
        <f t="shared" si="28"/>
        <v>45400</v>
      </c>
      <c r="F71" s="14">
        <f t="shared" si="28"/>
        <v>1400</v>
      </c>
      <c r="G71" s="128">
        <f t="shared" si="28"/>
        <v>3.15E-2</v>
      </c>
      <c r="H71" s="14">
        <f t="shared" si="28"/>
        <v>400</v>
      </c>
      <c r="I71" s="128">
        <f t="shared" si="28"/>
        <v>8.8000000000000005E-3</v>
      </c>
      <c r="M71" s="252" t="s">
        <v>407</v>
      </c>
      <c r="N71" s="120" t="s">
        <v>408</v>
      </c>
      <c r="O71" s="377" t="s">
        <v>64</v>
      </c>
      <c r="P71" s="379" t="s">
        <v>409</v>
      </c>
      <c r="Q71" s="378" t="s">
        <v>409</v>
      </c>
      <c r="R71" s="253" t="s">
        <v>410</v>
      </c>
      <c r="S71" s="254"/>
      <c r="T71" s="251" t="s">
        <v>411</v>
      </c>
      <c r="U71" s="251"/>
      <c r="W71" s="223" t="s">
        <v>28</v>
      </c>
      <c r="X71" s="220" t="s">
        <v>8</v>
      </c>
      <c r="Y71" s="325">
        <v>17400</v>
      </c>
      <c r="Z71" s="325">
        <v>17900</v>
      </c>
      <c r="AA71" s="325">
        <v>17400</v>
      </c>
      <c r="AB71" s="326">
        <v>-500</v>
      </c>
      <c r="AC71" s="327">
        <v>-2.7900000000000001E-2</v>
      </c>
      <c r="AD71" s="326">
        <v>0</v>
      </c>
      <c r="AE71" s="327">
        <v>0</v>
      </c>
    </row>
    <row r="72" spans="1:31">
      <c r="A72" s="7" t="s">
        <v>230</v>
      </c>
      <c r="B72" s="84" t="s">
        <v>229</v>
      </c>
      <c r="C72" s="14">
        <f t="shared" si="28"/>
        <v>33300</v>
      </c>
      <c r="D72" s="14">
        <f t="shared" si="28"/>
        <v>34100</v>
      </c>
      <c r="E72" s="14">
        <f t="shared" si="28"/>
        <v>33000</v>
      </c>
      <c r="F72" s="14">
        <f t="shared" si="28"/>
        <v>-800</v>
      </c>
      <c r="G72" s="128">
        <f t="shared" si="28"/>
        <v>-2.35E-2</v>
      </c>
      <c r="H72" s="14">
        <f t="shared" si="28"/>
        <v>300</v>
      </c>
      <c r="I72" s="128">
        <f t="shared" si="28"/>
        <v>9.1000000000000004E-3</v>
      </c>
      <c r="M72" s="252"/>
      <c r="N72" s="121" t="s">
        <v>412</v>
      </c>
      <c r="O72" s="230">
        <v>45536</v>
      </c>
      <c r="P72" s="231">
        <v>45505</v>
      </c>
      <c r="Q72" s="232">
        <v>45170</v>
      </c>
      <c r="R72" s="123" t="s">
        <v>413</v>
      </c>
      <c r="S72" s="124" t="s">
        <v>414</v>
      </c>
      <c r="T72" s="125" t="s">
        <v>413</v>
      </c>
      <c r="U72" s="125" t="s">
        <v>414</v>
      </c>
      <c r="W72" s="234" t="s">
        <v>574</v>
      </c>
      <c r="X72" s="220" t="s">
        <v>434</v>
      </c>
      <c r="Y72" s="325">
        <v>4200</v>
      </c>
      <c r="Z72" s="325">
        <v>4300</v>
      </c>
      <c r="AA72" s="325">
        <v>4200</v>
      </c>
      <c r="AB72" s="326">
        <v>-100</v>
      </c>
      <c r="AC72" s="327">
        <v>-2.3300000000000001E-2</v>
      </c>
      <c r="AD72" s="326">
        <v>0</v>
      </c>
      <c r="AE72" s="327">
        <v>0</v>
      </c>
    </row>
    <row r="73" spans="1:31">
      <c r="A73" s="7" t="s">
        <v>132</v>
      </c>
      <c r="B73" s="84">
        <v>15000000</v>
      </c>
      <c r="C73" s="14">
        <f t="shared" si="28"/>
        <v>2200</v>
      </c>
      <c r="D73" s="14">
        <f t="shared" si="28"/>
        <v>2200</v>
      </c>
      <c r="E73" s="14">
        <f t="shared" si="28"/>
        <v>2200</v>
      </c>
      <c r="F73" s="14">
        <f t="shared" si="28"/>
        <v>0</v>
      </c>
      <c r="G73" s="128">
        <f t="shared" si="28"/>
        <v>0</v>
      </c>
      <c r="H73" s="14">
        <f t="shared" si="28"/>
        <v>0</v>
      </c>
      <c r="I73" s="128">
        <f t="shared" si="28"/>
        <v>0</v>
      </c>
      <c r="M73" s="219" t="s">
        <v>490</v>
      </c>
      <c r="N73" s="220" t="s">
        <v>6</v>
      </c>
      <c r="O73" s="221">
        <v>714100</v>
      </c>
      <c r="P73" s="221">
        <v>712000</v>
      </c>
      <c r="Q73" s="221">
        <v>700400</v>
      </c>
      <c r="R73" s="221">
        <v>2100</v>
      </c>
      <c r="S73" s="222">
        <v>2.8999999999999998E-3</v>
      </c>
      <c r="T73" s="221">
        <v>13700</v>
      </c>
      <c r="U73" s="222">
        <v>1.9599999999999999E-2</v>
      </c>
      <c r="W73" s="223" t="s">
        <v>436</v>
      </c>
      <c r="X73" s="220" t="s">
        <v>13</v>
      </c>
      <c r="Y73" s="325">
        <v>3900</v>
      </c>
      <c r="Z73" s="325">
        <v>3700</v>
      </c>
      <c r="AA73" s="325">
        <v>3800</v>
      </c>
      <c r="AB73" s="326">
        <v>200</v>
      </c>
      <c r="AC73" s="327">
        <v>5.4100000000000002E-2</v>
      </c>
      <c r="AD73" s="326">
        <v>100</v>
      </c>
      <c r="AE73" s="327">
        <v>2.63E-2</v>
      </c>
    </row>
    <row r="74" spans="1:31">
      <c r="A74" s="7" t="s">
        <v>219</v>
      </c>
      <c r="B74" s="84" t="s">
        <v>231</v>
      </c>
      <c r="C74" s="109" t="s">
        <v>140</v>
      </c>
      <c r="D74" s="109" t="s">
        <v>140</v>
      </c>
      <c r="E74" s="109" t="s">
        <v>140</v>
      </c>
      <c r="F74" s="109" t="s">
        <v>140</v>
      </c>
      <c r="G74" s="133" t="s">
        <v>140</v>
      </c>
      <c r="H74" s="109" t="s">
        <v>140</v>
      </c>
      <c r="I74" s="133" t="s">
        <v>140</v>
      </c>
      <c r="M74" s="219" t="s">
        <v>43</v>
      </c>
      <c r="N74" s="235" t="s">
        <v>220</v>
      </c>
      <c r="O74" s="221">
        <v>624200</v>
      </c>
      <c r="P74" s="221">
        <v>622300</v>
      </c>
      <c r="Q74" s="221">
        <v>613600</v>
      </c>
      <c r="R74" s="221">
        <v>1900</v>
      </c>
      <c r="S74" s="222">
        <v>3.0999999999999999E-3</v>
      </c>
      <c r="T74" s="221">
        <v>10600</v>
      </c>
      <c r="U74" s="222">
        <v>1.7299999999999999E-2</v>
      </c>
      <c r="W74" s="219" t="s">
        <v>30</v>
      </c>
      <c r="X74" s="220" t="s">
        <v>311</v>
      </c>
      <c r="Y74" s="325">
        <v>2700</v>
      </c>
      <c r="Z74" s="325">
        <v>2700</v>
      </c>
      <c r="AA74" s="325">
        <v>2700</v>
      </c>
      <c r="AB74" s="326">
        <v>0</v>
      </c>
      <c r="AC74" s="327">
        <v>0</v>
      </c>
      <c r="AD74" s="326">
        <v>0</v>
      </c>
      <c r="AE74" s="327">
        <v>0</v>
      </c>
    </row>
    <row r="75" spans="1:31">
      <c r="A75" s="7" t="s">
        <v>23</v>
      </c>
      <c r="B75" s="83">
        <v>20000000</v>
      </c>
      <c r="C75" s="109" t="s">
        <v>140</v>
      </c>
      <c r="D75" s="109" t="s">
        <v>140</v>
      </c>
      <c r="E75" s="109" t="s">
        <v>140</v>
      </c>
      <c r="F75" s="109" t="s">
        <v>140</v>
      </c>
      <c r="G75" s="133" t="s">
        <v>140</v>
      </c>
      <c r="H75" s="109" t="s">
        <v>140</v>
      </c>
      <c r="I75" s="133" t="s">
        <v>140</v>
      </c>
      <c r="M75" s="219" t="s">
        <v>416</v>
      </c>
      <c r="N75" s="235" t="s">
        <v>222</v>
      </c>
      <c r="O75" s="221">
        <v>103000</v>
      </c>
      <c r="P75" s="221">
        <v>102400</v>
      </c>
      <c r="Q75" s="221">
        <v>103100</v>
      </c>
      <c r="R75" s="221">
        <v>600</v>
      </c>
      <c r="S75" s="222">
        <v>5.8999999999999999E-3</v>
      </c>
      <c r="T75" s="221">
        <v>-100</v>
      </c>
      <c r="U75" s="222">
        <v>-1E-3</v>
      </c>
      <c r="W75" s="219" t="s">
        <v>221</v>
      </c>
      <c r="X75" s="220" t="s">
        <v>312</v>
      </c>
      <c r="Y75" s="325">
        <v>7000</v>
      </c>
      <c r="Z75" s="325">
        <v>7000</v>
      </c>
      <c r="AA75" s="325">
        <v>7000</v>
      </c>
      <c r="AB75" s="326">
        <v>0</v>
      </c>
      <c r="AC75" s="327">
        <v>0</v>
      </c>
      <c r="AD75" s="326">
        <v>0</v>
      </c>
      <c r="AE75" s="327">
        <v>0</v>
      </c>
    </row>
    <row r="76" spans="1:31">
      <c r="A76" s="7" t="s">
        <v>125</v>
      </c>
      <c r="B76" s="83" t="s">
        <v>7</v>
      </c>
      <c r="C76" s="14">
        <f t="shared" ref="C76:C87" si="29">Y10</f>
        <v>5100</v>
      </c>
      <c r="D76" s="14">
        <f t="shared" ref="D76:D87" si="30">Z10</f>
        <v>5100</v>
      </c>
      <c r="E76" s="14">
        <f t="shared" ref="E76:E87" si="31">AA10</f>
        <v>5100</v>
      </c>
      <c r="F76" s="14">
        <f t="shared" ref="F76:F87" si="32">AB10</f>
        <v>0</v>
      </c>
      <c r="G76" s="128">
        <f t="shared" ref="G76:G87" si="33">AC10</f>
        <v>0</v>
      </c>
      <c r="H76" s="14">
        <f t="shared" ref="H76:H87" si="34">AD10</f>
        <v>0</v>
      </c>
      <c r="I76" s="128">
        <f t="shared" ref="I76:I87" si="35">AE10</f>
        <v>0</v>
      </c>
      <c r="M76" s="219" t="s">
        <v>417</v>
      </c>
      <c r="N76" s="235" t="s">
        <v>223</v>
      </c>
      <c r="O76" s="221">
        <v>611100</v>
      </c>
      <c r="P76" s="221">
        <v>609600</v>
      </c>
      <c r="Q76" s="221">
        <v>597300</v>
      </c>
      <c r="R76" s="221">
        <v>1500</v>
      </c>
      <c r="S76" s="222">
        <v>2.5000000000000001E-3</v>
      </c>
      <c r="T76" s="221">
        <v>13800</v>
      </c>
      <c r="U76" s="222">
        <v>2.3099999999999999E-2</v>
      </c>
      <c r="W76" s="223" t="s">
        <v>31</v>
      </c>
      <c r="X76" s="220" t="s">
        <v>439</v>
      </c>
      <c r="Y76" s="325">
        <v>5600</v>
      </c>
      <c r="Z76" s="325">
        <v>5600</v>
      </c>
      <c r="AA76" s="325">
        <v>5600</v>
      </c>
      <c r="AB76" s="326">
        <v>0</v>
      </c>
      <c r="AC76" s="327">
        <v>0</v>
      </c>
      <c r="AD76" s="326">
        <v>0</v>
      </c>
      <c r="AE76" s="327">
        <v>0</v>
      </c>
    </row>
    <row r="77" spans="1:31">
      <c r="A77" s="7" t="s">
        <v>232</v>
      </c>
      <c r="B77" s="83">
        <v>40000000</v>
      </c>
      <c r="C77" s="14">
        <f t="shared" si="29"/>
        <v>9400</v>
      </c>
      <c r="D77" s="14">
        <f t="shared" si="30"/>
        <v>9600</v>
      </c>
      <c r="E77" s="14">
        <f t="shared" si="31"/>
        <v>9400</v>
      </c>
      <c r="F77" s="14">
        <f t="shared" si="32"/>
        <v>-200</v>
      </c>
      <c r="G77" s="128">
        <f t="shared" si="33"/>
        <v>-2.0799999999999999E-2</v>
      </c>
      <c r="H77" s="14">
        <f t="shared" si="34"/>
        <v>0</v>
      </c>
      <c r="I77" s="128">
        <f t="shared" si="35"/>
        <v>0</v>
      </c>
      <c r="M77" s="219" t="s">
        <v>418</v>
      </c>
      <c r="N77" s="235" t="s">
        <v>229</v>
      </c>
      <c r="O77" s="221">
        <v>521200.00000000006</v>
      </c>
      <c r="P77" s="221">
        <v>519900</v>
      </c>
      <c r="Q77" s="221">
        <v>510500</v>
      </c>
      <c r="R77" s="221">
        <v>1300.0000000000582</v>
      </c>
      <c r="S77" s="222">
        <v>2.5000000000000001E-3</v>
      </c>
      <c r="T77" s="221">
        <v>10700.000000000058</v>
      </c>
      <c r="U77" s="222">
        <v>2.1000000000000001E-2</v>
      </c>
      <c r="W77" s="219" t="s">
        <v>443</v>
      </c>
      <c r="X77" s="220" t="s">
        <v>313</v>
      </c>
      <c r="Y77" s="325">
        <v>16400</v>
      </c>
      <c r="Z77" s="325">
        <v>16800</v>
      </c>
      <c r="AA77" s="325">
        <v>16500</v>
      </c>
      <c r="AB77" s="326">
        <v>-400</v>
      </c>
      <c r="AC77" s="327">
        <v>-2.3800000000000002E-2</v>
      </c>
      <c r="AD77" s="326">
        <v>-100</v>
      </c>
      <c r="AE77" s="327">
        <v>-6.1000000000000004E-3</v>
      </c>
    </row>
    <row r="78" spans="1:31">
      <c r="A78" s="7" t="s">
        <v>126</v>
      </c>
      <c r="B78" s="83" t="s">
        <v>12</v>
      </c>
      <c r="C78" s="14">
        <f t="shared" si="29"/>
        <v>1400</v>
      </c>
      <c r="D78" s="14">
        <f t="shared" si="30"/>
        <v>1400</v>
      </c>
      <c r="E78" s="14">
        <f t="shared" si="31"/>
        <v>1400</v>
      </c>
      <c r="F78" s="14">
        <f t="shared" si="32"/>
        <v>0</v>
      </c>
      <c r="G78" s="128">
        <f t="shared" si="33"/>
        <v>0</v>
      </c>
      <c r="H78" s="14">
        <f t="shared" si="34"/>
        <v>0</v>
      </c>
      <c r="I78" s="128">
        <f t="shared" si="35"/>
        <v>0</v>
      </c>
      <c r="M78" s="219" t="s">
        <v>546</v>
      </c>
      <c r="N78" s="220" t="s">
        <v>315</v>
      </c>
      <c r="O78" s="221">
        <v>32900</v>
      </c>
      <c r="P78" s="221">
        <v>32700.000000000004</v>
      </c>
      <c r="Q78" s="221">
        <v>32400</v>
      </c>
      <c r="R78" s="221">
        <v>199.99999999999636</v>
      </c>
      <c r="S78" s="222">
        <v>6.1000000000000004E-3</v>
      </c>
      <c r="T78" s="221">
        <v>500</v>
      </c>
      <c r="U78" s="222">
        <v>1.54E-2</v>
      </c>
      <c r="W78" s="219" t="s">
        <v>572</v>
      </c>
      <c r="X78" s="220" t="s">
        <v>314</v>
      </c>
      <c r="Y78" s="325">
        <v>21000</v>
      </c>
      <c r="Z78" s="325">
        <v>20400</v>
      </c>
      <c r="AA78" s="325">
        <v>19600</v>
      </c>
      <c r="AB78" s="326">
        <v>600</v>
      </c>
      <c r="AC78" s="327">
        <v>2.9399999999999999E-2</v>
      </c>
      <c r="AD78" s="326">
        <v>1400</v>
      </c>
      <c r="AE78" s="327">
        <v>7.1400000000000005E-2</v>
      </c>
    </row>
    <row r="79" spans="1:31">
      <c r="A79" s="7" t="s">
        <v>127</v>
      </c>
      <c r="B79" s="83" t="s">
        <v>8</v>
      </c>
      <c r="C79" s="14">
        <f t="shared" si="29"/>
        <v>7100</v>
      </c>
      <c r="D79" s="14">
        <f t="shared" si="30"/>
        <v>7300</v>
      </c>
      <c r="E79" s="14">
        <f t="shared" si="31"/>
        <v>7100</v>
      </c>
      <c r="F79" s="14">
        <f t="shared" si="32"/>
        <v>-200</v>
      </c>
      <c r="G79" s="128">
        <f t="shared" si="33"/>
        <v>-2.7400000000000001E-2</v>
      </c>
      <c r="H79" s="14">
        <f t="shared" si="34"/>
        <v>0</v>
      </c>
      <c r="I79" s="128">
        <f t="shared" si="35"/>
        <v>0</v>
      </c>
      <c r="M79" s="223" t="s">
        <v>219</v>
      </c>
      <c r="N79" s="220" t="s">
        <v>231</v>
      </c>
      <c r="O79" s="221">
        <v>900</v>
      </c>
      <c r="P79" s="221">
        <v>900</v>
      </c>
      <c r="Q79" s="221">
        <v>900</v>
      </c>
      <c r="R79" s="221">
        <v>0</v>
      </c>
      <c r="S79" s="222">
        <v>0</v>
      </c>
      <c r="T79" s="221">
        <v>0</v>
      </c>
      <c r="U79" s="222">
        <v>0</v>
      </c>
      <c r="W79" s="223" t="s">
        <v>37</v>
      </c>
      <c r="X79" s="220" t="s">
        <v>452</v>
      </c>
      <c r="Y79" s="325">
        <v>17200</v>
      </c>
      <c r="Z79" s="325">
        <v>17200</v>
      </c>
      <c r="AA79" s="325">
        <v>16400</v>
      </c>
      <c r="AB79" s="326">
        <v>0</v>
      </c>
      <c r="AC79" s="327">
        <v>0</v>
      </c>
      <c r="AD79" s="326">
        <v>800</v>
      </c>
      <c r="AE79" s="327">
        <v>4.8800000000000003E-2</v>
      </c>
    </row>
    <row r="80" spans="1:31">
      <c r="A80" s="7" t="s">
        <v>134</v>
      </c>
      <c r="B80" s="83" t="s">
        <v>13</v>
      </c>
      <c r="C80" s="14">
        <f t="shared" si="29"/>
        <v>900</v>
      </c>
      <c r="D80" s="14">
        <f t="shared" si="30"/>
        <v>900</v>
      </c>
      <c r="E80" s="14">
        <f t="shared" si="31"/>
        <v>900</v>
      </c>
      <c r="F80" s="14">
        <f t="shared" si="32"/>
        <v>0</v>
      </c>
      <c r="G80" s="128">
        <f t="shared" si="33"/>
        <v>0</v>
      </c>
      <c r="H80" s="14">
        <f t="shared" si="34"/>
        <v>0</v>
      </c>
      <c r="I80" s="128">
        <f t="shared" si="35"/>
        <v>0</v>
      </c>
      <c r="M80" s="223" t="s">
        <v>491</v>
      </c>
      <c r="N80" s="220" t="s">
        <v>309</v>
      </c>
      <c r="O80" s="221">
        <v>32000</v>
      </c>
      <c r="P80" s="221">
        <v>31800</v>
      </c>
      <c r="Q80" s="221">
        <v>31500</v>
      </c>
      <c r="R80" s="221">
        <v>200</v>
      </c>
      <c r="S80" s="222">
        <v>6.3E-3</v>
      </c>
      <c r="T80" s="221">
        <v>500</v>
      </c>
      <c r="U80" s="222">
        <v>1.5900000000000001E-2</v>
      </c>
      <c r="W80" s="219" t="s">
        <v>457</v>
      </c>
      <c r="X80" s="220" t="s">
        <v>9</v>
      </c>
      <c r="Y80" s="325">
        <v>12600</v>
      </c>
      <c r="Z80" s="325">
        <v>13500</v>
      </c>
      <c r="AA80" s="325">
        <v>12100</v>
      </c>
      <c r="AB80" s="326">
        <v>-900</v>
      </c>
      <c r="AC80" s="327">
        <v>-6.6699999999999995E-2</v>
      </c>
      <c r="AD80" s="326">
        <v>500</v>
      </c>
      <c r="AE80" s="327">
        <v>4.1300000000000003E-2</v>
      </c>
    </row>
    <row r="81" spans="1:31">
      <c r="A81" s="7" t="s">
        <v>30</v>
      </c>
      <c r="B81" s="83">
        <v>50000000</v>
      </c>
      <c r="C81" s="14">
        <f t="shared" si="29"/>
        <v>600</v>
      </c>
      <c r="D81" s="14">
        <f t="shared" si="30"/>
        <v>600</v>
      </c>
      <c r="E81" s="14">
        <f t="shared" si="31"/>
        <v>600</v>
      </c>
      <c r="F81" s="14">
        <f t="shared" si="32"/>
        <v>0</v>
      </c>
      <c r="G81" s="128">
        <f t="shared" si="33"/>
        <v>0</v>
      </c>
      <c r="H81" s="14">
        <f t="shared" si="34"/>
        <v>0</v>
      </c>
      <c r="I81" s="128">
        <f t="shared" si="35"/>
        <v>0</v>
      </c>
      <c r="M81" s="219" t="s">
        <v>492</v>
      </c>
      <c r="N81" s="220" t="s">
        <v>7</v>
      </c>
      <c r="O81" s="221">
        <v>70100</v>
      </c>
      <c r="P81" s="221">
        <v>69700</v>
      </c>
      <c r="Q81" s="221">
        <v>70700</v>
      </c>
      <c r="R81" s="221">
        <v>400</v>
      </c>
      <c r="S81" s="222">
        <v>5.7000000000000002E-3</v>
      </c>
      <c r="T81" s="221">
        <v>-600</v>
      </c>
      <c r="U81" s="222">
        <v>-8.5000000000000006E-3</v>
      </c>
      <c r="W81" s="223" t="s">
        <v>39</v>
      </c>
      <c r="X81" s="220" t="s">
        <v>461</v>
      </c>
      <c r="Y81" s="325">
        <v>10000</v>
      </c>
      <c r="Z81" s="325">
        <v>10800</v>
      </c>
      <c r="AA81" s="325">
        <v>10000</v>
      </c>
      <c r="AB81" s="326">
        <v>-800</v>
      </c>
      <c r="AC81" s="327">
        <v>-7.4099999999999999E-2</v>
      </c>
      <c r="AD81" s="326">
        <v>0</v>
      </c>
      <c r="AE81" s="327">
        <v>0</v>
      </c>
    </row>
    <row r="82" spans="1:31">
      <c r="A82" s="7" t="s">
        <v>221</v>
      </c>
      <c r="B82" s="83">
        <v>55000000</v>
      </c>
      <c r="C82" s="14">
        <f t="shared" si="29"/>
        <v>2100</v>
      </c>
      <c r="D82" s="14">
        <f t="shared" si="30"/>
        <v>2100</v>
      </c>
      <c r="E82" s="14">
        <f t="shared" si="31"/>
        <v>2100</v>
      </c>
      <c r="F82" s="14">
        <f t="shared" si="32"/>
        <v>0</v>
      </c>
      <c r="G82" s="128">
        <f t="shared" si="33"/>
        <v>0</v>
      </c>
      <c r="H82" s="14">
        <f t="shared" si="34"/>
        <v>0</v>
      </c>
      <c r="I82" s="128">
        <f t="shared" si="35"/>
        <v>0</v>
      </c>
      <c r="M82" s="223" t="s">
        <v>493</v>
      </c>
      <c r="N82" s="220" t="s">
        <v>424</v>
      </c>
      <c r="O82" s="221">
        <v>52300</v>
      </c>
      <c r="P82" s="221">
        <v>52000</v>
      </c>
      <c r="Q82" s="221">
        <v>52600</v>
      </c>
      <c r="R82" s="221">
        <v>300</v>
      </c>
      <c r="S82" s="222">
        <v>5.7999999999999996E-3</v>
      </c>
      <c r="T82" s="221">
        <v>-300</v>
      </c>
      <c r="U82" s="222">
        <v>-5.7000000000000002E-3</v>
      </c>
      <c r="W82" s="219" t="s">
        <v>469</v>
      </c>
      <c r="X82" s="220" t="s">
        <v>10</v>
      </c>
      <c r="Y82" s="325">
        <v>5200</v>
      </c>
      <c r="Z82" s="325">
        <v>5400</v>
      </c>
      <c r="AA82" s="325">
        <v>5200</v>
      </c>
      <c r="AB82" s="326">
        <v>-200</v>
      </c>
      <c r="AC82" s="327">
        <v>-3.6999999999999998E-2</v>
      </c>
      <c r="AD82" s="326">
        <v>0</v>
      </c>
      <c r="AE82" s="327">
        <v>0</v>
      </c>
    </row>
    <row r="83" spans="1:31">
      <c r="A83" s="7" t="s">
        <v>129</v>
      </c>
      <c r="B83" s="83">
        <v>60000000</v>
      </c>
      <c r="C83" s="14">
        <f t="shared" si="29"/>
        <v>4400</v>
      </c>
      <c r="D83" s="14">
        <f t="shared" si="30"/>
        <v>4500</v>
      </c>
      <c r="E83" s="14">
        <f t="shared" si="31"/>
        <v>4400</v>
      </c>
      <c r="F83" s="14">
        <f t="shared" si="32"/>
        <v>-100</v>
      </c>
      <c r="G83" s="128">
        <f t="shared" si="33"/>
        <v>-2.2200000000000001E-2</v>
      </c>
      <c r="H83" s="14">
        <f t="shared" si="34"/>
        <v>0</v>
      </c>
      <c r="I83" s="128">
        <f t="shared" si="35"/>
        <v>0</v>
      </c>
      <c r="M83" s="223" t="s">
        <v>494</v>
      </c>
      <c r="N83" s="220" t="s">
        <v>430</v>
      </c>
      <c r="O83" s="221">
        <v>17800</v>
      </c>
      <c r="P83" s="221">
        <v>17700</v>
      </c>
      <c r="Q83" s="221">
        <v>18100</v>
      </c>
      <c r="R83" s="221">
        <v>100</v>
      </c>
      <c r="S83" s="222">
        <v>5.5999999999999999E-3</v>
      </c>
      <c r="T83" s="221">
        <v>-300</v>
      </c>
      <c r="U83" s="222">
        <v>-1.66E-2</v>
      </c>
      <c r="W83" s="219" t="s">
        <v>172</v>
      </c>
      <c r="X83" s="220" t="s">
        <v>11</v>
      </c>
      <c r="Y83" s="325">
        <v>13400</v>
      </c>
      <c r="Z83" s="325">
        <v>10900</v>
      </c>
      <c r="AA83" s="325">
        <v>13300</v>
      </c>
      <c r="AB83" s="326">
        <v>2500</v>
      </c>
      <c r="AC83" s="327">
        <v>0.22939999999999999</v>
      </c>
      <c r="AD83" s="326">
        <v>100</v>
      </c>
      <c r="AE83" s="327">
        <v>7.4999999999999997E-3</v>
      </c>
    </row>
    <row r="84" spans="1:31">
      <c r="A84" s="7" t="s">
        <v>572</v>
      </c>
      <c r="B84" s="83">
        <v>65000000</v>
      </c>
      <c r="C84" s="14">
        <f t="shared" si="29"/>
        <v>9000</v>
      </c>
      <c r="D84" s="14">
        <f t="shared" si="30"/>
        <v>8900</v>
      </c>
      <c r="E84" s="14">
        <f t="shared" si="31"/>
        <v>8600</v>
      </c>
      <c r="F84" s="14">
        <f t="shared" si="32"/>
        <v>100</v>
      </c>
      <c r="G84" s="128">
        <f t="shared" si="33"/>
        <v>1.12E-2</v>
      </c>
      <c r="H84" s="14">
        <f t="shared" si="34"/>
        <v>400</v>
      </c>
      <c r="I84" s="128">
        <f t="shared" si="35"/>
        <v>4.65E-2</v>
      </c>
      <c r="M84" s="219" t="s">
        <v>495</v>
      </c>
      <c r="N84" s="220" t="s">
        <v>310</v>
      </c>
      <c r="O84" s="221">
        <v>140000</v>
      </c>
      <c r="P84" s="221">
        <v>140000</v>
      </c>
      <c r="Q84" s="221">
        <v>140700</v>
      </c>
      <c r="R84" s="221">
        <v>0</v>
      </c>
      <c r="S84" s="222">
        <v>0</v>
      </c>
      <c r="T84" s="221">
        <v>-700</v>
      </c>
      <c r="U84" s="222">
        <v>-5.0000000000000001E-3</v>
      </c>
      <c r="W84" s="223" t="s">
        <v>45</v>
      </c>
      <c r="X84" s="220" t="s">
        <v>470</v>
      </c>
      <c r="Y84" s="325">
        <v>1900</v>
      </c>
      <c r="Z84" s="325">
        <v>1900</v>
      </c>
      <c r="AA84" s="325">
        <v>1900</v>
      </c>
      <c r="AB84" s="326">
        <v>0</v>
      </c>
      <c r="AC84" s="327">
        <v>0</v>
      </c>
      <c r="AD84" s="326">
        <v>0</v>
      </c>
      <c r="AE84" s="327">
        <v>0</v>
      </c>
    </row>
    <row r="85" spans="1:31">
      <c r="A85" s="7" t="s">
        <v>128</v>
      </c>
      <c r="B85" s="83" t="s">
        <v>9</v>
      </c>
      <c r="C85" s="14">
        <f t="shared" si="29"/>
        <v>5800</v>
      </c>
      <c r="D85" s="14">
        <f t="shared" si="30"/>
        <v>6300</v>
      </c>
      <c r="E85" s="14">
        <f t="shared" si="31"/>
        <v>5800</v>
      </c>
      <c r="F85" s="14">
        <f t="shared" si="32"/>
        <v>-500</v>
      </c>
      <c r="G85" s="128">
        <f t="shared" si="33"/>
        <v>-7.9399999999999998E-2</v>
      </c>
      <c r="H85" s="14">
        <f t="shared" si="34"/>
        <v>0</v>
      </c>
      <c r="I85" s="128">
        <f t="shared" si="35"/>
        <v>0</v>
      </c>
      <c r="M85" s="223" t="s">
        <v>496</v>
      </c>
      <c r="N85" s="220" t="s">
        <v>12</v>
      </c>
      <c r="O85" s="221">
        <v>30900</v>
      </c>
      <c r="P85" s="221">
        <v>30800</v>
      </c>
      <c r="Q85" s="221">
        <v>31400</v>
      </c>
      <c r="R85" s="221">
        <v>100</v>
      </c>
      <c r="S85" s="222">
        <v>3.2000000000000002E-3</v>
      </c>
      <c r="T85" s="221">
        <v>-500</v>
      </c>
      <c r="U85" s="222">
        <v>-1.5900000000000001E-2</v>
      </c>
      <c r="W85" s="223" t="s">
        <v>46</v>
      </c>
      <c r="X85" s="220" t="s">
        <v>473</v>
      </c>
      <c r="Y85" s="325">
        <v>700</v>
      </c>
      <c r="Z85" s="325">
        <v>600</v>
      </c>
      <c r="AA85" s="325">
        <v>700</v>
      </c>
      <c r="AB85" s="326">
        <v>100</v>
      </c>
      <c r="AC85" s="327">
        <v>0.16669999999999999</v>
      </c>
      <c r="AD85" s="326">
        <v>0</v>
      </c>
      <c r="AE85" s="327">
        <v>0</v>
      </c>
    </row>
    <row r="86" spans="1:31">
      <c r="A86" s="7" t="s">
        <v>130</v>
      </c>
      <c r="B86" s="83" t="s">
        <v>10</v>
      </c>
      <c r="C86" s="14">
        <f t="shared" si="29"/>
        <v>2000</v>
      </c>
      <c r="D86" s="14">
        <f t="shared" si="30"/>
        <v>2100</v>
      </c>
      <c r="E86" s="14">
        <f t="shared" si="31"/>
        <v>2100</v>
      </c>
      <c r="F86" s="14">
        <f t="shared" si="32"/>
        <v>-100</v>
      </c>
      <c r="G86" s="128">
        <f t="shared" si="33"/>
        <v>-4.7600000000000003E-2</v>
      </c>
      <c r="H86" s="14">
        <f t="shared" si="34"/>
        <v>-100</v>
      </c>
      <c r="I86" s="128">
        <f t="shared" si="35"/>
        <v>-4.7600000000000003E-2</v>
      </c>
      <c r="M86" s="223" t="s">
        <v>497</v>
      </c>
      <c r="N86" s="220" t="s">
        <v>8</v>
      </c>
      <c r="O86" s="221">
        <v>90400</v>
      </c>
      <c r="P86" s="221">
        <v>90400</v>
      </c>
      <c r="Q86" s="221">
        <v>90700</v>
      </c>
      <c r="R86" s="221">
        <v>0</v>
      </c>
      <c r="S86" s="222">
        <v>0</v>
      </c>
      <c r="T86" s="221">
        <v>-300</v>
      </c>
      <c r="U86" s="222">
        <v>-3.3E-3</v>
      </c>
      <c r="W86" s="223" t="s">
        <v>47</v>
      </c>
      <c r="X86" s="220" t="s">
        <v>478</v>
      </c>
      <c r="Y86" s="325">
        <v>10800</v>
      </c>
      <c r="Z86" s="325">
        <v>8400</v>
      </c>
      <c r="AA86" s="325">
        <v>10700</v>
      </c>
      <c r="AB86" s="326">
        <v>2400</v>
      </c>
      <c r="AC86" s="327">
        <v>0.28570000000000001</v>
      </c>
      <c r="AD86" s="326">
        <v>100</v>
      </c>
      <c r="AE86" s="327">
        <v>9.2999999999999992E-3</v>
      </c>
    </row>
    <row r="87" spans="1:31">
      <c r="A87" s="7" t="s">
        <v>131</v>
      </c>
      <c r="B87" s="83" t="s">
        <v>11</v>
      </c>
      <c r="C87" s="14">
        <f t="shared" si="29"/>
        <v>12500</v>
      </c>
      <c r="D87" s="14">
        <f t="shared" si="30"/>
        <v>10300</v>
      </c>
      <c r="E87" s="14">
        <f t="shared" si="31"/>
        <v>12400</v>
      </c>
      <c r="F87" s="14">
        <f t="shared" si="32"/>
        <v>2200</v>
      </c>
      <c r="G87" s="128">
        <f t="shared" si="33"/>
        <v>0.21360000000000001</v>
      </c>
      <c r="H87" s="14">
        <f t="shared" si="34"/>
        <v>100</v>
      </c>
      <c r="I87" s="128">
        <f t="shared" si="35"/>
        <v>8.0999999999999996E-3</v>
      </c>
      <c r="M87" s="223" t="s">
        <v>436</v>
      </c>
      <c r="N87" s="220" t="s">
        <v>13</v>
      </c>
      <c r="O87" s="221">
        <v>18700</v>
      </c>
      <c r="P87" s="221">
        <v>18800</v>
      </c>
      <c r="Q87" s="221">
        <v>18600</v>
      </c>
      <c r="R87" s="221">
        <v>-100</v>
      </c>
      <c r="S87" s="222">
        <v>-5.3E-3</v>
      </c>
      <c r="T87" s="221">
        <v>100</v>
      </c>
      <c r="U87" s="222">
        <v>5.4000000000000003E-3</v>
      </c>
      <c r="W87" s="224" t="s">
        <v>479</v>
      </c>
      <c r="X87" s="227" t="s">
        <v>480</v>
      </c>
      <c r="Y87" s="328">
        <v>7300</v>
      </c>
      <c r="Z87" s="328">
        <v>5000</v>
      </c>
      <c r="AA87" s="328">
        <v>7500</v>
      </c>
      <c r="AB87" s="328">
        <v>2300</v>
      </c>
      <c r="AC87" s="329">
        <v>0.46</v>
      </c>
      <c r="AD87" s="328">
        <v>-200</v>
      </c>
      <c r="AE87" s="329">
        <v>-2.6700000000000002E-2</v>
      </c>
    </row>
    <row r="88" spans="1:31">
      <c r="A88" s="130" t="s">
        <v>137</v>
      </c>
      <c r="G88" s="134"/>
      <c r="I88" s="134"/>
      <c r="M88" s="219" t="s">
        <v>498</v>
      </c>
      <c r="N88" s="220" t="s">
        <v>311</v>
      </c>
      <c r="O88" s="221">
        <v>11500</v>
      </c>
      <c r="P88" s="221">
        <v>11500</v>
      </c>
      <c r="Q88" s="221">
        <v>11800</v>
      </c>
      <c r="R88" s="221">
        <v>0</v>
      </c>
      <c r="S88" s="222">
        <v>0</v>
      </c>
      <c r="T88" s="221">
        <v>-300</v>
      </c>
      <c r="U88" s="222">
        <v>-2.5399999999999999E-2</v>
      </c>
      <c r="W88" s="224" t="s">
        <v>481</v>
      </c>
      <c r="X88" s="227" t="s">
        <v>482</v>
      </c>
      <c r="Y88" s="328">
        <v>3500</v>
      </c>
      <c r="Z88" s="328">
        <v>3400</v>
      </c>
      <c r="AA88" s="328">
        <v>3200</v>
      </c>
      <c r="AB88" s="328">
        <v>100</v>
      </c>
      <c r="AC88" s="329">
        <v>2.9399999999999999E-2</v>
      </c>
      <c r="AD88" s="328">
        <v>300</v>
      </c>
      <c r="AE88" s="329">
        <v>9.3799999999999994E-2</v>
      </c>
    </row>
    <row r="89" spans="1:31">
      <c r="A89" s="7" t="s">
        <v>124</v>
      </c>
      <c r="B89" s="83" t="s">
        <v>6</v>
      </c>
      <c r="C89" s="14">
        <f t="shared" ref="C89:I94" si="36">Y32</f>
        <v>117400</v>
      </c>
      <c r="D89" s="14">
        <f t="shared" si="36"/>
        <v>116200</v>
      </c>
      <c r="E89" s="14">
        <f t="shared" si="36"/>
        <v>114800</v>
      </c>
      <c r="F89" s="14">
        <f t="shared" si="36"/>
        <v>1200</v>
      </c>
      <c r="G89" s="128">
        <f t="shared" si="36"/>
        <v>1.03E-2</v>
      </c>
      <c r="H89" s="14">
        <f t="shared" si="36"/>
        <v>2600</v>
      </c>
      <c r="I89" s="128">
        <f t="shared" si="36"/>
        <v>2.2599999999999999E-2</v>
      </c>
      <c r="M89" s="219" t="s">
        <v>499</v>
      </c>
      <c r="N89" s="220" t="s">
        <v>312</v>
      </c>
      <c r="O89" s="221">
        <v>34400</v>
      </c>
      <c r="P89" s="221">
        <v>34300</v>
      </c>
      <c r="Q89" s="221">
        <v>34600</v>
      </c>
      <c r="R89" s="221">
        <v>100</v>
      </c>
      <c r="S89" s="222">
        <v>2.8999999999999998E-3</v>
      </c>
      <c r="T89" s="221">
        <v>-200</v>
      </c>
      <c r="U89" s="222">
        <v>-5.7999999999999996E-3</v>
      </c>
    </row>
    <row r="90" spans="1:31">
      <c r="A90" s="7" t="s">
        <v>43</v>
      </c>
      <c r="B90" s="84" t="s">
        <v>220</v>
      </c>
      <c r="C90" s="14">
        <f t="shared" si="36"/>
        <v>104900</v>
      </c>
      <c r="D90" s="14">
        <f t="shared" si="36"/>
        <v>105000</v>
      </c>
      <c r="E90" s="14">
        <f t="shared" si="36"/>
        <v>102700</v>
      </c>
      <c r="F90" s="14">
        <f t="shared" si="36"/>
        <v>-100</v>
      </c>
      <c r="G90" s="128">
        <f t="shared" si="36"/>
        <v>-1E-3</v>
      </c>
      <c r="H90" s="14">
        <f t="shared" si="36"/>
        <v>2200</v>
      </c>
      <c r="I90" s="128">
        <f t="shared" si="36"/>
        <v>2.1399999999999999E-2</v>
      </c>
      <c r="M90" s="223" t="s">
        <v>31</v>
      </c>
      <c r="N90" s="220" t="s">
        <v>439</v>
      </c>
      <c r="O90" s="221">
        <v>26800</v>
      </c>
      <c r="P90" s="221">
        <v>26800</v>
      </c>
      <c r="Q90" s="221">
        <v>27200</v>
      </c>
      <c r="R90" s="221">
        <v>0</v>
      </c>
      <c r="S90" s="222">
        <v>0</v>
      </c>
      <c r="T90" s="221">
        <v>-400</v>
      </c>
      <c r="U90" s="222">
        <v>-1.47E-2</v>
      </c>
    </row>
    <row r="91" spans="1:31">
      <c r="A91" s="7" t="s">
        <v>20</v>
      </c>
      <c r="B91" s="84" t="s">
        <v>222</v>
      </c>
      <c r="C91" s="14">
        <f t="shared" si="36"/>
        <v>14100</v>
      </c>
      <c r="D91" s="14">
        <f t="shared" si="36"/>
        <v>14100</v>
      </c>
      <c r="E91" s="14">
        <f t="shared" si="36"/>
        <v>13900</v>
      </c>
      <c r="F91" s="14">
        <f t="shared" si="36"/>
        <v>0</v>
      </c>
      <c r="G91" s="128">
        <f t="shared" si="36"/>
        <v>0</v>
      </c>
      <c r="H91" s="14">
        <f t="shared" si="36"/>
        <v>200</v>
      </c>
      <c r="I91" s="128">
        <f t="shared" si="36"/>
        <v>1.44E-2</v>
      </c>
      <c r="M91" s="223" t="s">
        <v>500</v>
      </c>
      <c r="N91" s="220" t="s">
        <v>442</v>
      </c>
      <c r="O91" s="221">
        <v>7600</v>
      </c>
      <c r="P91" s="221">
        <v>7500</v>
      </c>
      <c r="Q91" s="221">
        <v>7400</v>
      </c>
      <c r="R91" s="221">
        <v>100</v>
      </c>
      <c r="S91" s="222">
        <v>1.3299999999999999E-2</v>
      </c>
      <c r="T91" s="221">
        <v>200</v>
      </c>
      <c r="U91" s="222">
        <v>2.7E-2</v>
      </c>
      <c r="W91" s="357" t="s">
        <v>488</v>
      </c>
      <c r="X91" s="357"/>
      <c r="Y91" s="357"/>
      <c r="Z91" s="357"/>
      <c r="AA91" s="357"/>
      <c r="AB91" s="357"/>
      <c r="AC91" s="357"/>
      <c r="AD91" s="357"/>
      <c r="AE91" s="357"/>
    </row>
    <row r="92" spans="1:31">
      <c r="A92" s="7" t="s">
        <v>25</v>
      </c>
      <c r="B92" s="84" t="s">
        <v>223</v>
      </c>
      <c r="C92" s="14">
        <f t="shared" si="36"/>
        <v>103300</v>
      </c>
      <c r="D92" s="14">
        <f t="shared" si="36"/>
        <v>102100</v>
      </c>
      <c r="E92" s="14">
        <f t="shared" si="36"/>
        <v>100900</v>
      </c>
      <c r="F92" s="14">
        <f t="shared" si="36"/>
        <v>1200</v>
      </c>
      <c r="G92" s="128">
        <f t="shared" si="36"/>
        <v>1.18E-2</v>
      </c>
      <c r="H92" s="14">
        <f t="shared" si="36"/>
        <v>2400</v>
      </c>
      <c r="I92" s="128">
        <f t="shared" si="36"/>
        <v>2.3800000000000002E-2</v>
      </c>
      <c r="M92" s="219" t="s">
        <v>501</v>
      </c>
      <c r="N92" s="220" t="s">
        <v>313</v>
      </c>
      <c r="O92" s="221">
        <v>101300</v>
      </c>
      <c r="P92" s="221">
        <v>101400</v>
      </c>
      <c r="Q92" s="221">
        <v>98200</v>
      </c>
      <c r="R92" s="221">
        <v>-100</v>
      </c>
      <c r="S92" s="222">
        <v>-1E-3</v>
      </c>
      <c r="T92" s="221">
        <v>3100</v>
      </c>
      <c r="U92" s="222">
        <v>3.1600000000000003E-2</v>
      </c>
      <c r="W92" s="381" t="s">
        <v>407</v>
      </c>
      <c r="X92" s="120" t="s">
        <v>408</v>
      </c>
      <c r="Y92" s="377" t="s">
        <v>64</v>
      </c>
      <c r="Z92" s="379" t="s">
        <v>409</v>
      </c>
      <c r="AA92" s="378" t="s">
        <v>409</v>
      </c>
      <c r="AB92" s="377" t="s">
        <v>410</v>
      </c>
      <c r="AC92" s="378"/>
      <c r="AD92" s="379" t="s">
        <v>411</v>
      </c>
      <c r="AE92" s="379"/>
    </row>
    <row r="93" spans="1:31">
      <c r="A93" s="7" t="s">
        <v>230</v>
      </c>
      <c r="B93" s="84" t="s">
        <v>229</v>
      </c>
      <c r="C93" s="14">
        <f t="shared" si="36"/>
        <v>90800</v>
      </c>
      <c r="D93" s="14">
        <f t="shared" si="36"/>
        <v>90900</v>
      </c>
      <c r="E93" s="14">
        <f t="shared" si="36"/>
        <v>88800</v>
      </c>
      <c r="F93" s="14">
        <f t="shared" si="36"/>
        <v>-100</v>
      </c>
      <c r="G93" s="128">
        <f t="shared" si="36"/>
        <v>-1.1000000000000001E-3</v>
      </c>
      <c r="H93" s="14">
        <f t="shared" si="36"/>
        <v>2000</v>
      </c>
      <c r="I93" s="128">
        <f t="shared" si="36"/>
        <v>2.2499999999999999E-2</v>
      </c>
      <c r="M93" s="223" t="s">
        <v>444</v>
      </c>
      <c r="N93" s="220" t="s">
        <v>445</v>
      </c>
      <c r="O93" s="221">
        <v>49300</v>
      </c>
      <c r="P93" s="221">
        <v>49500</v>
      </c>
      <c r="Q93" s="221">
        <v>47700</v>
      </c>
      <c r="R93" s="221">
        <v>-200</v>
      </c>
      <c r="S93" s="222">
        <v>-4.0000000000000001E-3</v>
      </c>
      <c r="T93" s="221">
        <v>1600</v>
      </c>
      <c r="U93" s="222">
        <v>3.3500000000000002E-2</v>
      </c>
      <c r="W93" s="381"/>
      <c r="X93" s="121" t="s">
        <v>412</v>
      </c>
      <c r="Y93" s="230">
        <v>45536</v>
      </c>
      <c r="Z93" s="231">
        <v>45505</v>
      </c>
      <c r="AA93" s="232">
        <v>45170</v>
      </c>
      <c r="AB93" s="123" t="s">
        <v>413</v>
      </c>
      <c r="AC93" s="124" t="s">
        <v>414</v>
      </c>
      <c r="AD93" s="125" t="s">
        <v>413</v>
      </c>
      <c r="AE93" s="125" t="s">
        <v>414</v>
      </c>
    </row>
    <row r="94" spans="1:31">
      <c r="A94" s="7" t="s">
        <v>132</v>
      </c>
      <c r="B94" s="84">
        <v>15000000</v>
      </c>
      <c r="C94" s="14">
        <f t="shared" si="36"/>
        <v>6200</v>
      </c>
      <c r="D94" s="14">
        <f t="shared" si="36"/>
        <v>6200</v>
      </c>
      <c r="E94" s="14">
        <f t="shared" si="36"/>
        <v>6000</v>
      </c>
      <c r="F94" s="14">
        <f t="shared" si="36"/>
        <v>0</v>
      </c>
      <c r="G94" s="128">
        <f t="shared" si="36"/>
        <v>0</v>
      </c>
      <c r="H94" s="14">
        <f t="shared" si="36"/>
        <v>200</v>
      </c>
      <c r="I94" s="128">
        <f t="shared" si="36"/>
        <v>3.3300000000000003E-2</v>
      </c>
      <c r="M94" s="223" t="s">
        <v>446</v>
      </c>
      <c r="N94" s="220" t="s">
        <v>447</v>
      </c>
      <c r="O94" s="221">
        <v>11000</v>
      </c>
      <c r="P94" s="221">
        <v>11000</v>
      </c>
      <c r="Q94" s="221">
        <v>11000</v>
      </c>
      <c r="R94" s="221">
        <v>0</v>
      </c>
      <c r="S94" s="222">
        <v>0</v>
      </c>
      <c r="T94" s="221">
        <v>0</v>
      </c>
      <c r="U94" s="222">
        <v>0</v>
      </c>
      <c r="W94" s="219" t="s">
        <v>415</v>
      </c>
      <c r="X94" s="220" t="s">
        <v>6</v>
      </c>
      <c r="Y94" s="233">
        <v>99200</v>
      </c>
      <c r="Z94" s="233">
        <v>100600</v>
      </c>
      <c r="AA94" s="233">
        <v>97100</v>
      </c>
      <c r="AB94" s="221">
        <v>-1400</v>
      </c>
      <c r="AC94" s="222">
        <v>-1.3899999999999999E-2</v>
      </c>
      <c r="AD94" s="221">
        <v>2100</v>
      </c>
      <c r="AE94" s="222">
        <v>2.1600000000000001E-2</v>
      </c>
    </row>
    <row r="95" spans="1:31">
      <c r="A95" s="7" t="s">
        <v>219</v>
      </c>
      <c r="B95" s="84" t="s">
        <v>231</v>
      </c>
      <c r="C95" s="109" t="s">
        <v>140</v>
      </c>
      <c r="D95" s="109" t="s">
        <v>140</v>
      </c>
      <c r="E95" s="109" t="s">
        <v>140</v>
      </c>
      <c r="F95" s="109" t="s">
        <v>140</v>
      </c>
      <c r="G95" s="133" t="s">
        <v>140</v>
      </c>
      <c r="H95" s="109" t="s">
        <v>140</v>
      </c>
      <c r="I95" s="133" t="s">
        <v>140</v>
      </c>
      <c r="M95" s="223" t="s">
        <v>502</v>
      </c>
      <c r="N95" s="220" t="s">
        <v>449</v>
      </c>
      <c r="O95" s="221">
        <v>41000</v>
      </c>
      <c r="P95" s="221">
        <v>40900</v>
      </c>
      <c r="Q95" s="221">
        <v>39500</v>
      </c>
      <c r="R95" s="221">
        <v>100</v>
      </c>
      <c r="S95" s="222">
        <v>2.3999999999999998E-3</v>
      </c>
      <c r="T95" s="221">
        <v>1500</v>
      </c>
      <c r="U95" s="222">
        <v>3.7999999999999999E-2</v>
      </c>
      <c r="W95" s="219" t="s">
        <v>43</v>
      </c>
      <c r="X95" s="220" t="s">
        <v>220</v>
      </c>
      <c r="Y95" s="233">
        <v>83500</v>
      </c>
      <c r="Z95" s="233">
        <v>85800</v>
      </c>
      <c r="AA95" s="233">
        <v>82000</v>
      </c>
      <c r="AB95" s="221">
        <v>-2300</v>
      </c>
      <c r="AC95" s="222">
        <v>-2.6800000000000001E-2</v>
      </c>
      <c r="AD95" s="221">
        <v>1500</v>
      </c>
      <c r="AE95" s="222">
        <v>1.83E-2</v>
      </c>
    </row>
    <row r="96" spans="1:31">
      <c r="A96" s="7" t="s">
        <v>23</v>
      </c>
      <c r="B96" s="83">
        <v>20000000</v>
      </c>
      <c r="C96" s="109" t="s">
        <v>140</v>
      </c>
      <c r="D96" s="109" t="s">
        <v>140</v>
      </c>
      <c r="E96" s="109" t="s">
        <v>140</v>
      </c>
      <c r="F96" s="109" t="s">
        <v>140</v>
      </c>
      <c r="G96" s="133" t="s">
        <v>140</v>
      </c>
      <c r="H96" s="109" t="s">
        <v>140</v>
      </c>
      <c r="I96" s="133" t="s">
        <v>140</v>
      </c>
      <c r="M96" s="219" t="s">
        <v>503</v>
      </c>
      <c r="N96" s="220" t="s">
        <v>314</v>
      </c>
      <c r="O96" s="221">
        <v>134200</v>
      </c>
      <c r="P96" s="221">
        <v>133300</v>
      </c>
      <c r="Q96" s="221">
        <v>126400</v>
      </c>
      <c r="R96" s="221">
        <v>900</v>
      </c>
      <c r="S96" s="222">
        <v>6.7999999999999996E-3</v>
      </c>
      <c r="T96" s="221">
        <v>7800</v>
      </c>
      <c r="U96" s="222">
        <v>6.1699999999999998E-2</v>
      </c>
      <c r="W96" s="219" t="s">
        <v>416</v>
      </c>
      <c r="X96" s="220" t="s">
        <v>222</v>
      </c>
      <c r="Y96" s="233">
        <v>13300</v>
      </c>
      <c r="Z96" s="233">
        <v>13300</v>
      </c>
      <c r="AA96" s="233">
        <v>13100</v>
      </c>
      <c r="AB96" s="221">
        <v>0</v>
      </c>
      <c r="AC96" s="222">
        <v>0</v>
      </c>
      <c r="AD96" s="221">
        <v>200</v>
      </c>
      <c r="AE96" s="222">
        <v>1.5299999999999999E-2</v>
      </c>
    </row>
    <row r="97" spans="1:37">
      <c r="A97" s="7" t="s">
        <v>125</v>
      </c>
      <c r="B97" s="83" t="s">
        <v>7</v>
      </c>
      <c r="C97" s="14">
        <f t="shared" ref="C97:I100" si="37">Y38</f>
        <v>7900</v>
      </c>
      <c r="D97" s="14">
        <f t="shared" si="37"/>
        <v>7900</v>
      </c>
      <c r="E97" s="14">
        <f t="shared" si="37"/>
        <v>7900</v>
      </c>
      <c r="F97" s="14">
        <f t="shared" si="37"/>
        <v>0</v>
      </c>
      <c r="G97" s="128">
        <f t="shared" si="37"/>
        <v>0</v>
      </c>
      <c r="H97" s="14">
        <f t="shared" si="37"/>
        <v>0</v>
      </c>
      <c r="I97" s="128">
        <f t="shared" si="37"/>
        <v>0</v>
      </c>
      <c r="M97" s="223" t="s">
        <v>504</v>
      </c>
      <c r="N97" s="220" t="s">
        <v>450</v>
      </c>
      <c r="O97" s="221">
        <v>33300</v>
      </c>
      <c r="P97" s="221">
        <v>32500</v>
      </c>
      <c r="Q97" s="221">
        <v>30900</v>
      </c>
      <c r="R97" s="221">
        <v>800</v>
      </c>
      <c r="S97" s="222">
        <v>2.46E-2</v>
      </c>
      <c r="T97" s="221">
        <v>2400</v>
      </c>
      <c r="U97" s="222">
        <v>7.7700000000000005E-2</v>
      </c>
      <c r="W97" s="219" t="s">
        <v>417</v>
      </c>
      <c r="X97" s="220" t="s">
        <v>223</v>
      </c>
      <c r="Y97" s="233">
        <v>85900</v>
      </c>
      <c r="Z97" s="233">
        <v>87300</v>
      </c>
      <c r="AA97" s="233">
        <v>84000</v>
      </c>
      <c r="AB97" s="221">
        <v>-1400</v>
      </c>
      <c r="AC97" s="222">
        <v>-1.6E-2</v>
      </c>
      <c r="AD97" s="221">
        <v>1900</v>
      </c>
      <c r="AE97" s="222">
        <v>2.2599999999999999E-2</v>
      </c>
    </row>
    <row r="98" spans="1:37">
      <c r="A98" s="7" t="s">
        <v>232</v>
      </c>
      <c r="B98" s="83">
        <v>40000000</v>
      </c>
      <c r="C98" s="14">
        <f t="shared" si="37"/>
        <v>19700</v>
      </c>
      <c r="D98" s="14">
        <f t="shared" si="37"/>
        <v>19900</v>
      </c>
      <c r="E98" s="14">
        <f t="shared" si="37"/>
        <v>20000</v>
      </c>
      <c r="F98" s="14">
        <f t="shared" si="37"/>
        <v>-200</v>
      </c>
      <c r="G98" s="128">
        <f t="shared" si="37"/>
        <v>-1.01E-2</v>
      </c>
      <c r="H98" s="14">
        <f t="shared" si="37"/>
        <v>-300</v>
      </c>
      <c r="I98" s="128">
        <f t="shared" si="37"/>
        <v>-1.4999999999999999E-2</v>
      </c>
      <c r="M98" s="223" t="s">
        <v>505</v>
      </c>
      <c r="N98" s="220" t="s">
        <v>452</v>
      </c>
      <c r="O98" s="221">
        <v>100900</v>
      </c>
      <c r="P98" s="221">
        <v>100800</v>
      </c>
      <c r="Q98" s="221">
        <v>95500</v>
      </c>
      <c r="R98" s="221">
        <v>100</v>
      </c>
      <c r="S98" s="222">
        <v>1E-3</v>
      </c>
      <c r="T98" s="221">
        <v>5400</v>
      </c>
      <c r="U98" s="222">
        <v>5.6500000000000002E-2</v>
      </c>
      <c r="W98" s="219" t="s">
        <v>418</v>
      </c>
      <c r="X98" s="220" t="s">
        <v>229</v>
      </c>
      <c r="Y98" s="233">
        <v>70200</v>
      </c>
      <c r="Z98" s="233">
        <v>72500</v>
      </c>
      <c r="AA98" s="233">
        <v>68900</v>
      </c>
      <c r="AB98" s="221">
        <v>-2300</v>
      </c>
      <c r="AC98" s="222">
        <v>-3.1699999999999999E-2</v>
      </c>
      <c r="AD98" s="221">
        <v>1300</v>
      </c>
      <c r="AE98" s="222">
        <v>1.89E-2</v>
      </c>
    </row>
    <row r="99" spans="1:37">
      <c r="A99" s="7" t="s">
        <v>126</v>
      </c>
      <c r="B99" s="83" t="s">
        <v>12</v>
      </c>
      <c r="C99" s="14">
        <f t="shared" si="37"/>
        <v>4500</v>
      </c>
      <c r="D99" s="14">
        <f t="shared" si="37"/>
        <v>4500</v>
      </c>
      <c r="E99" s="14">
        <f t="shared" si="37"/>
        <v>4500</v>
      </c>
      <c r="F99" s="14">
        <f t="shared" si="37"/>
        <v>0</v>
      </c>
      <c r="G99" s="128">
        <f t="shared" si="37"/>
        <v>0</v>
      </c>
      <c r="H99" s="14">
        <f t="shared" si="37"/>
        <v>0</v>
      </c>
      <c r="I99" s="128">
        <f t="shared" si="37"/>
        <v>0</v>
      </c>
      <c r="M99" s="219" t="s">
        <v>506</v>
      </c>
      <c r="N99" s="220" t="s">
        <v>9</v>
      </c>
      <c r="O99" s="221">
        <v>74500</v>
      </c>
      <c r="P99" s="221">
        <v>74100</v>
      </c>
      <c r="Q99" s="221">
        <v>73900</v>
      </c>
      <c r="R99" s="221">
        <v>400</v>
      </c>
      <c r="S99" s="222">
        <v>5.4000000000000003E-3</v>
      </c>
      <c r="T99" s="221">
        <v>600</v>
      </c>
      <c r="U99" s="222">
        <v>8.0999999999999996E-3</v>
      </c>
      <c r="W99" s="219" t="s">
        <v>485</v>
      </c>
      <c r="X99" s="220" t="s">
        <v>315</v>
      </c>
      <c r="Y99" s="233">
        <v>3500</v>
      </c>
      <c r="Z99" s="233">
        <v>3500</v>
      </c>
      <c r="AA99" s="233">
        <v>3300</v>
      </c>
      <c r="AB99" s="221">
        <v>0</v>
      </c>
      <c r="AC99" s="222">
        <v>0</v>
      </c>
      <c r="AD99" s="221">
        <v>200</v>
      </c>
      <c r="AE99" s="222">
        <v>6.0600000000000001E-2</v>
      </c>
    </row>
    <row r="100" spans="1:37">
      <c r="A100" s="7" t="s">
        <v>127</v>
      </c>
      <c r="B100" s="83" t="s">
        <v>8</v>
      </c>
      <c r="C100" s="14">
        <f t="shared" si="37"/>
        <v>11600</v>
      </c>
      <c r="D100" s="14">
        <f t="shared" si="37"/>
        <v>11900</v>
      </c>
      <c r="E100" s="14">
        <f t="shared" si="37"/>
        <v>12000</v>
      </c>
      <c r="F100" s="14">
        <f t="shared" si="37"/>
        <v>-300</v>
      </c>
      <c r="G100" s="128">
        <f t="shared" si="37"/>
        <v>-2.52E-2</v>
      </c>
      <c r="H100" s="14">
        <f t="shared" si="37"/>
        <v>-400</v>
      </c>
      <c r="I100" s="128">
        <f t="shared" si="37"/>
        <v>-3.3300000000000003E-2</v>
      </c>
      <c r="M100" s="223" t="s">
        <v>507</v>
      </c>
      <c r="N100" s="220" t="s">
        <v>458</v>
      </c>
      <c r="O100" s="221">
        <v>14600</v>
      </c>
      <c r="P100" s="221">
        <v>14300</v>
      </c>
      <c r="Q100" s="221">
        <v>13800</v>
      </c>
      <c r="R100" s="221">
        <v>300</v>
      </c>
      <c r="S100" s="222">
        <v>2.1000000000000001E-2</v>
      </c>
      <c r="T100" s="221">
        <v>800</v>
      </c>
      <c r="U100" s="222">
        <v>5.8000000000000003E-2</v>
      </c>
      <c r="W100" s="219" t="s">
        <v>24</v>
      </c>
      <c r="X100" s="220" t="s">
        <v>7</v>
      </c>
      <c r="Y100" s="233">
        <v>9800</v>
      </c>
      <c r="Z100" s="233">
        <v>9800</v>
      </c>
      <c r="AA100" s="233">
        <v>9800</v>
      </c>
      <c r="AB100" s="221">
        <v>0</v>
      </c>
      <c r="AC100" s="222">
        <v>0</v>
      </c>
      <c r="AD100" s="221">
        <v>0</v>
      </c>
      <c r="AE100" s="222">
        <v>0</v>
      </c>
    </row>
    <row r="101" spans="1:37">
      <c r="A101" s="7" t="s">
        <v>134</v>
      </c>
      <c r="B101" s="83" t="s">
        <v>13</v>
      </c>
      <c r="C101" s="14">
        <f t="shared" ref="C101:I108" si="38">Y42</f>
        <v>3600</v>
      </c>
      <c r="D101" s="14">
        <f t="shared" si="38"/>
        <v>3500</v>
      </c>
      <c r="E101" s="14">
        <f t="shared" si="38"/>
        <v>3500</v>
      </c>
      <c r="F101" s="14">
        <f t="shared" si="38"/>
        <v>100</v>
      </c>
      <c r="G101" s="128">
        <f t="shared" si="38"/>
        <v>2.86E-2</v>
      </c>
      <c r="H101" s="14">
        <f t="shared" si="38"/>
        <v>100</v>
      </c>
      <c r="I101" s="128">
        <f t="shared" si="38"/>
        <v>2.86E-2</v>
      </c>
      <c r="M101" s="223" t="s">
        <v>508</v>
      </c>
      <c r="N101" s="220" t="s">
        <v>461</v>
      </c>
      <c r="O101" s="221">
        <v>59900</v>
      </c>
      <c r="P101" s="221">
        <v>59800</v>
      </c>
      <c r="Q101" s="221">
        <v>60100</v>
      </c>
      <c r="R101" s="221">
        <v>100</v>
      </c>
      <c r="S101" s="222">
        <v>1.6999999999999999E-3</v>
      </c>
      <c r="T101" s="221">
        <v>-200</v>
      </c>
      <c r="U101" s="222">
        <v>-3.3E-3</v>
      </c>
      <c r="W101" s="219" t="s">
        <v>232</v>
      </c>
      <c r="X101" s="220" t="s">
        <v>310</v>
      </c>
      <c r="Y101" s="233">
        <v>16400</v>
      </c>
      <c r="Z101" s="233">
        <v>16700</v>
      </c>
      <c r="AA101" s="233">
        <v>16400</v>
      </c>
      <c r="AB101" s="221">
        <v>-300</v>
      </c>
      <c r="AC101" s="222">
        <v>-1.7999999999999999E-2</v>
      </c>
      <c r="AD101" s="221">
        <v>0</v>
      </c>
      <c r="AE101" s="222">
        <v>0</v>
      </c>
    </row>
    <row r="102" spans="1:37">
      <c r="A102" s="7" t="s">
        <v>30</v>
      </c>
      <c r="B102" s="83">
        <v>50000000</v>
      </c>
      <c r="C102" s="14">
        <f t="shared" si="38"/>
        <v>2500</v>
      </c>
      <c r="D102" s="14">
        <f t="shared" si="38"/>
        <v>2500</v>
      </c>
      <c r="E102" s="14">
        <f t="shared" si="38"/>
        <v>2500</v>
      </c>
      <c r="F102" s="14">
        <f t="shared" si="38"/>
        <v>0</v>
      </c>
      <c r="G102" s="128">
        <f t="shared" si="38"/>
        <v>0</v>
      </c>
      <c r="H102" s="14">
        <f t="shared" si="38"/>
        <v>0</v>
      </c>
      <c r="I102" s="128">
        <f t="shared" si="38"/>
        <v>0</v>
      </c>
      <c r="M102" s="219" t="s">
        <v>509</v>
      </c>
      <c r="N102" s="220" t="s">
        <v>10</v>
      </c>
      <c r="O102" s="221">
        <v>25300</v>
      </c>
      <c r="P102" s="221">
        <v>25300</v>
      </c>
      <c r="Q102" s="221">
        <v>24900</v>
      </c>
      <c r="R102" s="221">
        <v>0</v>
      </c>
      <c r="S102" s="222">
        <v>0</v>
      </c>
      <c r="T102" s="221">
        <v>400</v>
      </c>
      <c r="U102" s="222">
        <v>1.61E-2</v>
      </c>
      <c r="W102" s="223" t="s">
        <v>27</v>
      </c>
      <c r="X102" s="220" t="s">
        <v>12</v>
      </c>
      <c r="Y102" s="233">
        <v>3000</v>
      </c>
      <c r="Z102" s="233">
        <v>3000</v>
      </c>
      <c r="AA102" s="233">
        <v>3100</v>
      </c>
      <c r="AB102" s="221">
        <v>0</v>
      </c>
      <c r="AC102" s="222">
        <v>0</v>
      </c>
      <c r="AD102" s="221">
        <v>-100</v>
      </c>
      <c r="AE102" s="222">
        <v>-3.2300000000000002E-2</v>
      </c>
    </row>
    <row r="103" spans="1:37">
      <c r="A103" s="7" t="s">
        <v>221</v>
      </c>
      <c r="B103" s="83">
        <v>55000000</v>
      </c>
      <c r="C103" s="14">
        <f t="shared" si="38"/>
        <v>7100</v>
      </c>
      <c r="D103" s="14">
        <f t="shared" si="38"/>
        <v>7100</v>
      </c>
      <c r="E103" s="14">
        <f t="shared" si="38"/>
        <v>7200</v>
      </c>
      <c r="F103" s="14">
        <f t="shared" si="38"/>
        <v>0</v>
      </c>
      <c r="G103" s="128">
        <f t="shared" si="38"/>
        <v>0</v>
      </c>
      <c r="H103" s="14">
        <f t="shared" si="38"/>
        <v>-100</v>
      </c>
      <c r="I103" s="128">
        <f t="shared" si="38"/>
        <v>-1.3899999999999999E-2</v>
      </c>
      <c r="M103" s="219" t="s">
        <v>510</v>
      </c>
      <c r="N103" s="220" t="s">
        <v>11</v>
      </c>
      <c r="O103" s="221">
        <v>89900</v>
      </c>
      <c r="P103" s="221">
        <v>89700</v>
      </c>
      <c r="Q103" s="221">
        <v>86800</v>
      </c>
      <c r="R103" s="221">
        <v>200</v>
      </c>
      <c r="S103" s="222">
        <v>2.2000000000000001E-3</v>
      </c>
      <c r="T103" s="221">
        <v>3100</v>
      </c>
      <c r="U103" s="222">
        <v>3.5700000000000003E-2</v>
      </c>
      <c r="W103" s="223" t="s">
        <v>28</v>
      </c>
      <c r="X103" s="220" t="s">
        <v>8</v>
      </c>
      <c r="Y103" s="233">
        <v>11300</v>
      </c>
      <c r="Z103" s="233">
        <v>11600</v>
      </c>
      <c r="AA103" s="233">
        <v>11200</v>
      </c>
      <c r="AB103" s="221">
        <v>-300</v>
      </c>
      <c r="AC103" s="222">
        <v>-2.5899999999999999E-2</v>
      </c>
      <c r="AD103" s="221">
        <v>100</v>
      </c>
      <c r="AE103" s="222">
        <v>8.8999999999999999E-3</v>
      </c>
    </row>
    <row r="104" spans="1:37">
      <c r="A104" s="7" t="s">
        <v>129</v>
      </c>
      <c r="B104" s="83">
        <v>60000000</v>
      </c>
      <c r="C104" s="14">
        <f t="shared" si="38"/>
        <v>18300</v>
      </c>
      <c r="D104" s="14">
        <f t="shared" si="38"/>
        <v>18500</v>
      </c>
      <c r="E104" s="14">
        <f t="shared" si="38"/>
        <v>17500</v>
      </c>
      <c r="F104" s="14">
        <f t="shared" si="38"/>
        <v>-200</v>
      </c>
      <c r="G104" s="128">
        <f t="shared" si="38"/>
        <v>-1.0800000000000001E-2</v>
      </c>
      <c r="H104" s="14">
        <f t="shared" si="38"/>
        <v>800</v>
      </c>
      <c r="I104" s="128">
        <f t="shared" si="38"/>
        <v>4.5699999999999998E-2</v>
      </c>
      <c r="M104" s="223" t="s">
        <v>511</v>
      </c>
      <c r="N104" s="220" t="s">
        <v>470</v>
      </c>
      <c r="O104" s="221">
        <v>9100</v>
      </c>
      <c r="P104" s="221">
        <v>9100</v>
      </c>
      <c r="Q104" s="221">
        <v>8800</v>
      </c>
      <c r="R104" s="221">
        <v>0</v>
      </c>
      <c r="S104" s="222">
        <v>0</v>
      </c>
      <c r="T104" s="221">
        <v>300</v>
      </c>
      <c r="U104" s="222">
        <v>3.4099999999999998E-2</v>
      </c>
      <c r="W104" s="223" t="s">
        <v>436</v>
      </c>
      <c r="X104" s="220" t="s">
        <v>13</v>
      </c>
      <c r="Y104" s="233">
        <v>2100</v>
      </c>
      <c r="Z104" s="233">
        <v>2100</v>
      </c>
      <c r="AA104" s="233">
        <v>2100</v>
      </c>
      <c r="AB104" s="221">
        <v>0</v>
      </c>
      <c r="AC104" s="222">
        <v>0</v>
      </c>
      <c r="AD104" s="221">
        <v>0</v>
      </c>
      <c r="AE104" s="222">
        <v>0</v>
      </c>
    </row>
    <row r="105" spans="1:37">
      <c r="A105" s="7" t="s">
        <v>572</v>
      </c>
      <c r="B105" s="83">
        <v>65000000</v>
      </c>
      <c r="C105" s="14">
        <f t="shared" si="38"/>
        <v>27700</v>
      </c>
      <c r="D105" s="14">
        <f t="shared" si="38"/>
        <v>26300</v>
      </c>
      <c r="E105" s="14">
        <f t="shared" si="38"/>
        <v>26100</v>
      </c>
      <c r="F105" s="14">
        <f t="shared" si="38"/>
        <v>1400</v>
      </c>
      <c r="G105" s="128">
        <f t="shared" si="38"/>
        <v>5.3199999999999997E-2</v>
      </c>
      <c r="H105" s="14">
        <f t="shared" si="38"/>
        <v>1600</v>
      </c>
      <c r="I105" s="128">
        <f t="shared" si="38"/>
        <v>6.13E-2</v>
      </c>
      <c r="M105" s="223" t="s">
        <v>512</v>
      </c>
      <c r="N105" s="220" t="s">
        <v>473</v>
      </c>
      <c r="O105" s="221">
        <v>22800</v>
      </c>
      <c r="P105" s="221">
        <v>22800</v>
      </c>
      <c r="Q105" s="221">
        <v>22300</v>
      </c>
      <c r="R105" s="221">
        <v>0</v>
      </c>
      <c r="S105" s="222">
        <v>0</v>
      </c>
      <c r="T105" s="221">
        <v>500</v>
      </c>
      <c r="U105" s="222">
        <v>2.24E-2</v>
      </c>
      <c r="W105" s="219" t="s">
        <v>30</v>
      </c>
      <c r="X105" s="220" t="s">
        <v>311</v>
      </c>
      <c r="Y105" s="233">
        <v>1600</v>
      </c>
      <c r="Z105" s="233">
        <v>1700</v>
      </c>
      <c r="AA105" s="233">
        <v>1700</v>
      </c>
      <c r="AB105" s="221">
        <v>-100</v>
      </c>
      <c r="AC105" s="222">
        <v>-5.8799999999999998E-2</v>
      </c>
      <c r="AD105" s="221">
        <v>-100</v>
      </c>
      <c r="AE105" s="222">
        <v>-5.8799999999999998E-2</v>
      </c>
    </row>
    <row r="106" spans="1:37">
      <c r="A106" s="7" t="s">
        <v>128</v>
      </c>
      <c r="B106" s="83" t="s">
        <v>9</v>
      </c>
      <c r="C106" s="14">
        <f t="shared" si="38"/>
        <v>10800</v>
      </c>
      <c r="D106" s="14">
        <f t="shared" si="38"/>
        <v>11700</v>
      </c>
      <c r="E106" s="14">
        <f t="shared" si="38"/>
        <v>10700</v>
      </c>
      <c r="F106" s="14">
        <f t="shared" si="38"/>
        <v>-900</v>
      </c>
      <c r="G106" s="128">
        <f t="shared" si="38"/>
        <v>-7.6899999999999996E-2</v>
      </c>
      <c r="H106" s="14">
        <f t="shared" si="38"/>
        <v>100</v>
      </c>
      <c r="I106" s="128">
        <f t="shared" si="38"/>
        <v>9.2999999999999992E-3</v>
      </c>
      <c r="M106" s="223" t="s">
        <v>513</v>
      </c>
      <c r="N106" s="220" t="s">
        <v>478</v>
      </c>
      <c r="O106" s="221">
        <v>58000</v>
      </c>
      <c r="P106" s="221">
        <v>57800</v>
      </c>
      <c r="Q106" s="221">
        <v>55700</v>
      </c>
      <c r="R106" s="221">
        <v>200</v>
      </c>
      <c r="S106" s="222">
        <v>3.5000000000000001E-3</v>
      </c>
      <c r="T106" s="221">
        <v>2300</v>
      </c>
      <c r="U106" s="222">
        <v>4.1300000000000003E-2</v>
      </c>
      <c r="W106" s="219" t="s">
        <v>221</v>
      </c>
      <c r="X106" s="220" t="s">
        <v>312</v>
      </c>
      <c r="Y106" s="233">
        <v>5700</v>
      </c>
      <c r="Z106" s="233">
        <v>5700</v>
      </c>
      <c r="AA106" s="233">
        <v>5700</v>
      </c>
      <c r="AB106" s="221">
        <v>0</v>
      </c>
      <c r="AC106" s="222">
        <v>0</v>
      </c>
      <c r="AD106" s="221">
        <v>0</v>
      </c>
      <c r="AE106" s="222">
        <v>0</v>
      </c>
    </row>
    <row r="107" spans="1:37">
      <c r="A107" s="7" t="s">
        <v>130</v>
      </c>
      <c r="B107" s="83" t="s">
        <v>10</v>
      </c>
      <c r="C107" s="14">
        <f t="shared" si="38"/>
        <v>4700</v>
      </c>
      <c r="D107" s="14">
        <f t="shared" si="38"/>
        <v>4900</v>
      </c>
      <c r="E107" s="14">
        <f t="shared" si="38"/>
        <v>4800</v>
      </c>
      <c r="F107" s="14">
        <f t="shared" si="38"/>
        <v>-200</v>
      </c>
      <c r="G107" s="128">
        <f t="shared" si="38"/>
        <v>-4.0800000000000003E-2</v>
      </c>
      <c r="H107" s="14">
        <f t="shared" si="38"/>
        <v>-100</v>
      </c>
      <c r="I107" s="128">
        <f t="shared" si="38"/>
        <v>-2.0799999999999999E-2</v>
      </c>
      <c r="W107" s="223" t="s">
        <v>31</v>
      </c>
      <c r="X107" s="220" t="s">
        <v>439</v>
      </c>
      <c r="Y107" s="233">
        <v>4700</v>
      </c>
      <c r="Z107" s="233">
        <v>4700</v>
      </c>
      <c r="AA107" s="233">
        <v>4700</v>
      </c>
      <c r="AB107" s="221">
        <v>0</v>
      </c>
      <c r="AC107" s="222">
        <v>0</v>
      </c>
      <c r="AD107" s="221">
        <v>0</v>
      </c>
      <c r="AE107" s="222">
        <v>0</v>
      </c>
    </row>
    <row r="108" spans="1:37">
      <c r="A108" s="7" t="s">
        <v>131</v>
      </c>
      <c r="B108" s="83" t="s">
        <v>11</v>
      </c>
      <c r="C108" s="14">
        <f t="shared" si="38"/>
        <v>12500</v>
      </c>
      <c r="D108" s="14">
        <f t="shared" si="38"/>
        <v>11200</v>
      </c>
      <c r="E108" s="14">
        <f t="shared" si="38"/>
        <v>12100</v>
      </c>
      <c r="F108" s="14">
        <f t="shared" si="38"/>
        <v>1300</v>
      </c>
      <c r="G108" s="128">
        <f t="shared" si="38"/>
        <v>0.11609999999999999</v>
      </c>
      <c r="H108" s="14">
        <f t="shared" si="38"/>
        <v>400</v>
      </c>
      <c r="I108" s="128">
        <f t="shared" si="38"/>
        <v>3.3099999999999997E-2</v>
      </c>
      <c r="M108" s="317" t="s">
        <v>531</v>
      </c>
      <c r="S108" s="58" t="s">
        <v>530</v>
      </c>
      <c r="W108" s="219" t="s">
        <v>443</v>
      </c>
      <c r="X108" s="220" t="s">
        <v>313</v>
      </c>
      <c r="Y108" s="233">
        <v>15600</v>
      </c>
      <c r="Z108" s="233">
        <v>15800</v>
      </c>
      <c r="AA108" s="233">
        <v>14900</v>
      </c>
      <c r="AB108" s="221">
        <v>-200</v>
      </c>
      <c r="AC108" s="222">
        <v>-1.2699999999999999E-2</v>
      </c>
      <c r="AD108" s="221">
        <v>700</v>
      </c>
      <c r="AE108" s="222">
        <v>4.7E-2</v>
      </c>
      <c r="AK108" s="3"/>
    </row>
    <row r="109" spans="1:37">
      <c r="A109" s="130" t="s">
        <v>139</v>
      </c>
      <c r="G109" s="134"/>
      <c r="I109" s="134"/>
      <c r="M109" s="131" t="s">
        <v>532</v>
      </c>
      <c r="R109" s="199" t="s">
        <v>527</v>
      </c>
      <c r="S109" s="135"/>
      <c r="T109" s="199" t="s">
        <v>529</v>
      </c>
      <c r="U109" s="135"/>
      <c r="W109" s="219" t="s">
        <v>572</v>
      </c>
      <c r="X109" s="220" t="s">
        <v>314</v>
      </c>
      <c r="Y109" s="233">
        <v>14700</v>
      </c>
      <c r="Z109" s="233">
        <v>14700</v>
      </c>
      <c r="AA109" s="233">
        <v>14300</v>
      </c>
      <c r="AB109" s="221">
        <v>0</v>
      </c>
      <c r="AC109" s="222">
        <v>0</v>
      </c>
      <c r="AD109" s="221">
        <v>400</v>
      </c>
      <c r="AE109" s="222">
        <v>2.8000000000000001E-2</v>
      </c>
      <c r="AK109"/>
    </row>
    <row r="110" spans="1:37">
      <c r="A110" s="7" t="s">
        <v>124</v>
      </c>
      <c r="B110" s="83" t="s">
        <v>6</v>
      </c>
      <c r="C110" s="14">
        <f t="shared" ref="C110:I115" si="39">Y60</f>
        <v>133100</v>
      </c>
      <c r="D110" s="14">
        <f t="shared" si="39"/>
        <v>132000</v>
      </c>
      <c r="E110" s="14">
        <f t="shared" si="39"/>
        <v>131100</v>
      </c>
      <c r="F110" s="14">
        <f t="shared" si="39"/>
        <v>1100</v>
      </c>
      <c r="G110" s="128">
        <f t="shared" si="39"/>
        <v>8.3000000000000001E-3</v>
      </c>
      <c r="H110" s="14">
        <f t="shared" si="39"/>
        <v>2000</v>
      </c>
      <c r="I110" s="128">
        <f t="shared" si="39"/>
        <v>1.5299999999999999E-2</v>
      </c>
      <c r="M110" s="130" t="s">
        <v>525</v>
      </c>
      <c r="O110" s="230">
        <v>45536</v>
      </c>
      <c r="P110" s="231">
        <v>45505</v>
      </c>
      <c r="Q110" s="232">
        <v>45170</v>
      </c>
      <c r="R110" s="199" t="s">
        <v>413</v>
      </c>
      <c r="S110" s="199" t="s">
        <v>528</v>
      </c>
      <c r="T110" s="199" t="s">
        <v>413</v>
      </c>
      <c r="U110" s="199" t="s">
        <v>528</v>
      </c>
      <c r="W110" s="219" t="s">
        <v>457</v>
      </c>
      <c r="X110" s="220" t="s">
        <v>9</v>
      </c>
      <c r="Y110" s="233">
        <v>13200</v>
      </c>
      <c r="Z110" s="233">
        <v>14900</v>
      </c>
      <c r="AA110" s="233">
        <v>13000</v>
      </c>
      <c r="AB110" s="221">
        <v>-1700</v>
      </c>
      <c r="AC110" s="222">
        <v>-0.11409999999999999</v>
      </c>
      <c r="AD110" s="221">
        <v>200</v>
      </c>
      <c r="AE110" s="222">
        <v>1.54E-2</v>
      </c>
      <c r="AK110"/>
    </row>
    <row r="111" spans="1:37">
      <c r="A111" s="7" t="s">
        <v>43</v>
      </c>
      <c r="B111" s="84" t="s">
        <v>220</v>
      </c>
      <c r="C111" s="14">
        <f t="shared" si="39"/>
        <v>119700</v>
      </c>
      <c r="D111" s="14">
        <f t="shared" si="39"/>
        <v>121100</v>
      </c>
      <c r="E111" s="14">
        <f t="shared" si="39"/>
        <v>117800</v>
      </c>
      <c r="F111" s="14">
        <f t="shared" si="39"/>
        <v>-1400</v>
      </c>
      <c r="G111" s="128">
        <f t="shared" si="39"/>
        <v>-1.1599999999999999E-2</v>
      </c>
      <c r="H111" s="14">
        <f t="shared" si="39"/>
        <v>1900</v>
      </c>
      <c r="I111" s="128">
        <f t="shared" si="39"/>
        <v>1.61E-2</v>
      </c>
      <c r="M111" s="7" t="s">
        <v>415</v>
      </c>
      <c r="N111" s="7">
        <v>0</v>
      </c>
      <c r="O111" s="14">
        <v>68000</v>
      </c>
      <c r="P111" s="14">
        <v>68700</v>
      </c>
      <c r="Q111" s="14">
        <v>67100</v>
      </c>
      <c r="R111" s="135">
        <f>O111-P111</f>
        <v>-700</v>
      </c>
      <c r="S111" s="136">
        <f>R111/P111</f>
        <v>-1.0189228529839884E-2</v>
      </c>
      <c r="T111" s="135">
        <f>O111-Q111</f>
        <v>900</v>
      </c>
      <c r="U111" s="136">
        <f>T111/Q111</f>
        <v>1.3412816691505217E-2</v>
      </c>
      <c r="W111" s="219" t="s">
        <v>469</v>
      </c>
      <c r="X111" s="220" t="s">
        <v>10</v>
      </c>
      <c r="Y111" s="233">
        <v>3000</v>
      </c>
      <c r="Z111" s="233">
        <v>3000</v>
      </c>
      <c r="AA111" s="233">
        <v>2900</v>
      </c>
      <c r="AB111" s="221">
        <v>0</v>
      </c>
      <c r="AC111" s="222">
        <v>0</v>
      </c>
      <c r="AD111" s="221">
        <v>100</v>
      </c>
      <c r="AE111" s="222">
        <v>3.4500000000000003E-2</v>
      </c>
      <c r="AK111"/>
    </row>
    <row r="112" spans="1:37">
      <c r="A112" s="7" t="s">
        <v>20</v>
      </c>
      <c r="B112" s="84" t="s">
        <v>222</v>
      </c>
      <c r="C112" s="14">
        <f t="shared" si="39"/>
        <v>27900</v>
      </c>
      <c r="D112" s="14">
        <f t="shared" si="39"/>
        <v>28000</v>
      </c>
      <c r="E112" s="14">
        <f t="shared" si="39"/>
        <v>27900</v>
      </c>
      <c r="F112" s="14">
        <f t="shared" si="39"/>
        <v>-100</v>
      </c>
      <c r="G112" s="128">
        <f t="shared" si="39"/>
        <v>-3.5999999999999999E-3</v>
      </c>
      <c r="H112" s="14">
        <f t="shared" si="39"/>
        <v>0</v>
      </c>
      <c r="I112" s="128">
        <f t="shared" si="39"/>
        <v>0</v>
      </c>
      <c r="M112" s="7" t="s">
        <v>43</v>
      </c>
      <c r="N112" s="7">
        <v>5000000</v>
      </c>
      <c r="O112" s="14">
        <v>58600</v>
      </c>
      <c r="P112" s="14">
        <v>60100</v>
      </c>
      <c r="Q112" s="14">
        <v>58000</v>
      </c>
      <c r="R112" s="135">
        <f t="shared" ref="R112:R125" si="40">O112-P112</f>
        <v>-1500</v>
      </c>
      <c r="S112" s="136">
        <f t="shared" ref="S112:S127" si="41">R112/P112</f>
        <v>-2.4958402662229616E-2</v>
      </c>
      <c r="T112" s="135">
        <f t="shared" ref="T112:T125" si="42">O112-Q112</f>
        <v>600</v>
      </c>
      <c r="U112" s="136">
        <f t="shared" ref="U112:U126" si="43">T112/Q112</f>
        <v>1.0344827586206896E-2</v>
      </c>
      <c r="W112" s="219" t="s">
        <v>172</v>
      </c>
      <c r="X112" s="220" t="s">
        <v>11</v>
      </c>
      <c r="Y112" s="233">
        <v>15700</v>
      </c>
      <c r="Z112" s="233">
        <v>14800</v>
      </c>
      <c r="AA112" s="233">
        <v>15100</v>
      </c>
      <c r="AB112" s="221">
        <v>900</v>
      </c>
      <c r="AC112" s="222">
        <v>6.08E-2</v>
      </c>
      <c r="AD112" s="221">
        <v>600</v>
      </c>
      <c r="AE112" s="222">
        <v>3.9699999999999999E-2</v>
      </c>
      <c r="AK112"/>
    </row>
    <row r="113" spans="1:37">
      <c r="A113" s="7" t="s">
        <v>25</v>
      </c>
      <c r="B113" s="84" t="s">
        <v>223</v>
      </c>
      <c r="C113" s="14">
        <f t="shared" si="39"/>
        <v>105200</v>
      </c>
      <c r="D113" s="14">
        <f t="shared" si="39"/>
        <v>104000</v>
      </c>
      <c r="E113" s="14">
        <f t="shared" si="39"/>
        <v>103200</v>
      </c>
      <c r="F113" s="14">
        <f t="shared" si="39"/>
        <v>1200</v>
      </c>
      <c r="G113" s="128">
        <f t="shared" si="39"/>
        <v>1.15E-2</v>
      </c>
      <c r="H113" s="14">
        <f t="shared" si="39"/>
        <v>2000</v>
      </c>
      <c r="I113" s="128">
        <f t="shared" si="39"/>
        <v>1.9400000000000001E-2</v>
      </c>
      <c r="M113" s="7" t="s">
        <v>521</v>
      </c>
      <c r="N113" s="7">
        <v>6000000</v>
      </c>
      <c r="O113" s="14">
        <v>14400</v>
      </c>
      <c r="P113" s="14">
        <v>14300</v>
      </c>
      <c r="Q113" s="14">
        <v>14400</v>
      </c>
      <c r="R113" s="135">
        <f t="shared" si="40"/>
        <v>100</v>
      </c>
      <c r="S113" s="136">
        <f t="shared" si="41"/>
        <v>6.993006993006993E-3</v>
      </c>
      <c r="T113" s="135">
        <f t="shared" si="42"/>
        <v>0</v>
      </c>
      <c r="U113" s="136">
        <f t="shared" si="43"/>
        <v>0</v>
      </c>
      <c r="W113" s="223" t="s">
        <v>45</v>
      </c>
      <c r="X113" s="220" t="s">
        <v>470</v>
      </c>
      <c r="Y113" s="233">
        <v>8300</v>
      </c>
      <c r="Z113" s="233">
        <v>8300</v>
      </c>
      <c r="AA113" s="233">
        <v>8100</v>
      </c>
      <c r="AB113" s="221">
        <v>0</v>
      </c>
      <c r="AC113" s="222">
        <v>0</v>
      </c>
      <c r="AD113" s="221">
        <v>200</v>
      </c>
      <c r="AE113" s="222">
        <v>2.47E-2</v>
      </c>
      <c r="AK113"/>
    </row>
    <row r="114" spans="1:37">
      <c r="A114" s="7" t="s">
        <v>230</v>
      </c>
      <c r="B114" s="84" t="s">
        <v>229</v>
      </c>
      <c r="C114" s="14">
        <f t="shared" si="39"/>
        <v>91800</v>
      </c>
      <c r="D114" s="14">
        <f t="shared" si="39"/>
        <v>93100</v>
      </c>
      <c r="E114" s="14">
        <f t="shared" si="39"/>
        <v>89900</v>
      </c>
      <c r="F114" s="14">
        <f t="shared" si="39"/>
        <v>-1300</v>
      </c>
      <c r="G114" s="128">
        <f t="shared" si="39"/>
        <v>-1.4E-2</v>
      </c>
      <c r="H114" s="14">
        <f t="shared" si="39"/>
        <v>1900</v>
      </c>
      <c r="I114" s="128">
        <f t="shared" si="39"/>
        <v>2.1100000000000001E-2</v>
      </c>
      <c r="M114" s="7" t="s">
        <v>417</v>
      </c>
      <c r="N114" s="7">
        <v>7000000</v>
      </c>
      <c r="O114" s="14">
        <v>53600</v>
      </c>
      <c r="P114" s="14">
        <v>54400</v>
      </c>
      <c r="Q114" s="14">
        <v>52700</v>
      </c>
      <c r="R114" s="196">
        <f>O114-P114</f>
        <v>-800</v>
      </c>
      <c r="S114" s="136">
        <f t="shared" si="41"/>
        <v>-1.4705882352941176E-2</v>
      </c>
      <c r="T114" s="135">
        <f t="shared" si="42"/>
        <v>900</v>
      </c>
      <c r="U114" s="136">
        <f t="shared" si="43"/>
        <v>1.7077798861480076E-2</v>
      </c>
      <c r="W114" s="223" t="s">
        <v>46</v>
      </c>
      <c r="X114" s="220" t="s">
        <v>473</v>
      </c>
      <c r="Y114" s="233">
        <v>900</v>
      </c>
      <c r="Z114" s="233">
        <v>1000</v>
      </c>
      <c r="AA114" s="233">
        <v>900</v>
      </c>
      <c r="AB114" s="221">
        <v>-100</v>
      </c>
      <c r="AC114" s="222">
        <v>-0.1</v>
      </c>
      <c r="AD114" s="221">
        <v>0</v>
      </c>
      <c r="AE114" s="222">
        <v>0</v>
      </c>
      <c r="AK114"/>
    </row>
    <row r="115" spans="1:37">
      <c r="A115" s="7" t="s">
        <v>132</v>
      </c>
      <c r="B115" s="84">
        <v>15000000</v>
      </c>
      <c r="C115" s="14">
        <f t="shared" si="39"/>
        <v>6500</v>
      </c>
      <c r="D115" s="14">
        <f t="shared" si="39"/>
        <v>6600</v>
      </c>
      <c r="E115" s="14">
        <f t="shared" si="39"/>
        <v>6200</v>
      </c>
      <c r="F115" s="14">
        <f t="shared" si="39"/>
        <v>-100</v>
      </c>
      <c r="G115" s="128">
        <f t="shared" si="39"/>
        <v>-1.52E-2</v>
      </c>
      <c r="H115" s="14">
        <f t="shared" si="39"/>
        <v>300</v>
      </c>
      <c r="I115" s="128">
        <f t="shared" si="39"/>
        <v>4.8399999999999999E-2</v>
      </c>
      <c r="M115" s="7" t="s">
        <v>418</v>
      </c>
      <c r="N115" s="7">
        <v>8000000</v>
      </c>
      <c r="O115" s="14">
        <v>44200</v>
      </c>
      <c r="P115" s="14">
        <v>45800</v>
      </c>
      <c r="Q115" s="14">
        <v>43600</v>
      </c>
      <c r="R115" s="135">
        <f t="shared" si="40"/>
        <v>-1600</v>
      </c>
      <c r="S115" s="136">
        <f t="shared" si="41"/>
        <v>-3.4934497816593885E-2</v>
      </c>
      <c r="T115" s="135">
        <f t="shared" si="42"/>
        <v>600</v>
      </c>
      <c r="U115" s="136">
        <f t="shared" si="43"/>
        <v>1.3761467889908258E-2</v>
      </c>
      <c r="W115" s="223" t="s">
        <v>47</v>
      </c>
      <c r="X115" s="220" t="s">
        <v>478</v>
      </c>
      <c r="Y115" s="233">
        <v>6500</v>
      </c>
      <c r="Z115" s="233">
        <v>5500</v>
      </c>
      <c r="AA115" s="233">
        <v>6100</v>
      </c>
      <c r="AB115" s="221">
        <v>1000</v>
      </c>
      <c r="AC115" s="222">
        <v>0.18179999999999999</v>
      </c>
      <c r="AD115" s="221">
        <v>400</v>
      </c>
      <c r="AE115" s="222">
        <v>6.5600000000000006E-2</v>
      </c>
      <c r="AK115"/>
    </row>
    <row r="116" spans="1:37">
      <c r="A116" s="7" t="s">
        <v>219</v>
      </c>
      <c r="B116" s="84" t="s">
        <v>231</v>
      </c>
      <c r="C116" s="109" t="s">
        <v>140</v>
      </c>
      <c r="D116" s="109" t="s">
        <v>140</v>
      </c>
      <c r="E116" s="109" t="s">
        <v>140</v>
      </c>
      <c r="F116" s="109" t="s">
        <v>140</v>
      </c>
      <c r="G116" s="133" t="s">
        <v>140</v>
      </c>
      <c r="H116" s="109" t="s">
        <v>140</v>
      </c>
      <c r="I116" s="133" t="s">
        <v>140</v>
      </c>
      <c r="M116" s="7" t="s">
        <v>485</v>
      </c>
      <c r="N116" s="7">
        <v>15000000</v>
      </c>
      <c r="O116" s="14">
        <v>5400</v>
      </c>
      <c r="P116" s="14">
        <v>5400</v>
      </c>
      <c r="Q116" s="14">
        <v>5500</v>
      </c>
      <c r="R116" s="135">
        <f t="shared" si="40"/>
        <v>0</v>
      </c>
      <c r="S116" s="136">
        <f t="shared" si="41"/>
        <v>0</v>
      </c>
      <c r="T116" s="135">
        <f t="shared" si="42"/>
        <v>-100</v>
      </c>
      <c r="U116" s="136">
        <f t="shared" si="43"/>
        <v>-1.8181818181818181E-2</v>
      </c>
      <c r="W116" s="224" t="s">
        <v>479</v>
      </c>
      <c r="X116" s="227" t="s">
        <v>480</v>
      </c>
      <c r="Y116" s="228">
        <v>3800</v>
      </c>
      <c r="Z116" s="228">
        <v>2800</v>
      </c>
      <c r="AA116" s="228">
        <v>3600</v>
      </c>
      <c r="AB116" s="228">
        <v>1000</v>
      </c>
      <c r="AC116" s="229">
        <v>0.35709999999999997</v>
      </c>
      <c r="AD116" s="228">
        <v>200</v>
      </c>
      <c r="AE116" s="229">
        <v>5.5599999999999997E-2</v>
      </c>
      <c r="AK116"/>
    </row>
    <row r="117" spans="1:37">
      <c r="A117" s="7" t="s">
        <v>23</v>
      </c>
      <c r="B117" s="83">
        <v>20000000</v>
      </c>
      <c r="C117" s="109" t="s">
        <v>140</v>
      </c>
      <c r="D117" s="109" t="s">
        <v>140</v>
      </c>
      <c r="E117" s="109" t="s">
        <v>140</v>
      </c>
      <c r="F117" s="109" t="s">
        <v>140</v>
      </c>
      <c r="G117" s="133" t="s">
        <v>140</v>
      </c>
      <c r="H117" s="109" t="s">
        <v>140</v>
      </c>
      <c r="I117" s="133" t="s">
        <v>140</v>
      </c>
      <c r="M117" s="7" t="s">
        <v>24</v>
      </c>
      <c r="N117" s="7">
        <v>30000000</v>
      </c>
      <c r="O117" s="14">
        <v>9000</v>
      </c>
      <c r="P117" s="14">
        <v>8900</v>
      </c>
      <c r="Q117" s="14">
        <v>8900</v>
      </c>
      <c r="R117" s="135">
        <f t="shared" si="40"/>
        <v>100</v>
      </c>
      <c r="S117" s="136">
        <f t="shared" si="41"/>
        <v>1.1235955056179775E-2</v>
      </c>
      <c r="T117" s="135">
        <f t="shared" si="42"/>
        <v>100</v>
      </c>
      <c r="U117" s="136">
        <f t="shared" si="43"/>
        <v>1.1235955056179775E-2</v>
      </c>
      <c r="W117" s="224" t="s">
        <v>481</v>
      </c>
      <c r="X117" s="227" t="s">
        <v>482</v>
      </c>
      <c r="Y117" s="228">
        <v>2700</v>
      </c>
      <c r="Z117" s="228">
        <v>2700</v>
      </c>
      <c r="AA117" s="228">
        <v>2500</v>
      </c>
      <c r="AB117" s="228">
        <v>0</v>
      </c>
      <c r="AC117" s="229">
        <v>0</v>
      </c>
      <c r="AD117" s="228">
        <v>200</v>
      </c>
      <c r="AE117" s="229">
        <v>0.08</v>
      </c>
      <c r="AK117"/>
    </row>
    <row r="118" spans="1:37">
      <c r="A118" s="7" t="s">
        <v>125</v>
      </c>
      <c r="B118" s="83" t="s">
        <v>7</v>
      </c>
      <c r="C118" s="14">
        <f t="shared" ref="C118:I118" si="44">Y66</f>
        <v>21400</v>
      </c>
      <c r="D118" s="14">
        <f t="shared" si="44"/>
        <v>21400</v>
      </c>
      <c r="E118" s="14">
        <f t="shared" si="44"/>
        <v>21700</v>
      </c>
      <c r="F118" s="14">
        <f t="shared" si="44"/>
        <v>0</v>
      </c>
      <c r="G118" s="128">
        <f t="shared" si="44"/>
        <v>0</v>
      </c>
      <c r="H118" s="14">
        <f t="shared" si="44"/>
        <v>-300</v>
      </c>
      <c r="I118" s="128">
        <f t="shared" si="44"/>
        <v>-1.38E-2</v>
      </c>
      <c r="M118" s="7" t="s">
        <v>522</v>
      </c>
      <c r="N118" s="7">
        <v>40000000</v>
      </c>
      <c r="O118" s="14">
        <v>13100</v>
      </c>
      <c r="P118" s="14">
        <v>13500</v>
      </c>
      <c r="Q118" s="14">
        <v>13300</v>
      </c>
      <c r="R118" s="135">
        <f t="shared" si="40"/>
        <v>-400</v>
      </c>
      <c r="S118" s="136">
        <f t="shared" si="41"/>
        <v>-2.9629629629629631E-2</v>
      </c>
      <c r="T118" s="135">
        <f t="shared" si="42"/>
        <v>-200</v>
      </c>
      <c r="U118" s="136">
        <f t="shared" si="43"/>
        <v>-1.5037593984962405E-2</v>
      </c>
      <c r="AK118"/>
    </row>
    <row r="119" spans="1:37">
      <c r="A119" s="7" t="s">
        <v>232</v>
      </c>
      <c r="B119" s="83">
        <v>40000000</v>
      </c>
      <c r="C119" s="14">
        <f t="shared" ref="C119:I121" si="45">Y69</f>
        <v>26900</v>
      </c>
      <c r="D119" s="14">
        <f t="shared" si="45"/>
        <v>27300</v>
      </c>
      <c r="E119" s="14">
        <f t="shared" si="45"/>
        <v>26800</v>
      </c>
      <c r="F119" s="14">
        <f t="shared" si="45"/>
        <v>-400</v>
      </c>
      <c r="G119" s="128">
        <f t="shared" si="45"/>
        <v>-1.47E-2</v>
      </c>
      <c r="H119" s="14">
        <f t="shared" si="45"/>
        <v>100</v>
      </c>
      <c r="I119" s="128">
        <f t="shared" si="45"/>
        <v>3.7000000000000002E-3</v>
      </c>
      <c r="M119" s="7" t="s">
        <v>28</v>
      </c>
      <c r="N119" s="7">
        <v>42000000</v>
      </c>
      <c r="O119" s="14">
        <v>8900</v>
      </c>
      <c r="P119" s="14">
        <v>9200</v>
      </c>
      <c r="Q119" s="14">
        <v>9100</v>
      </c>
      <c r="R119" s="135">
        <f t="shared" si="40"/>
        <v>-300</v>
      </c>
      <c r="S119" s="136">
        <f t="shared" si="41"/>
        <v>-3.2608695652173912E-2</v>
      </c>
      <c r="T119" s="135">
        <f t="shared" si="42"/>
        <v>-200</v>
      </c>
      <c r="U119" s="136">
        <f t="shared" si="43"/>
        <v>-2.197802197802198E-2</v>
      </c>
      <c r="AK119"/>
    </row>
    <row r="120" spans="1:37">
      <c r="A120" s="7" t="s">
        <v>126</v>
      </c>
      <c r="B120" s="83" t="s">
        <v>12</v>
      </c>
      <c r="C120" s="14">
        <f t="shared" si="45"/>
        <v>5600</v>
      </c>
      <c r="D120" s="14">
        <f t="shared" si="45"/>
        <v>5700</v>
      </c>
      <c r="E120" s="14">
        <f t="shared" si="45"/>
        <v>5600</v>
      </c>
      <c r="F120" s="14">
        <f t="shared" si="45"/>
        <v>-100</v>
      </c>
      <c r="G120" s="128">
        <f t="shared" si="45"/>
        <v>-1.7500000000000002E-2</v>
      </c>
      <c r="H120" s="14">
        <f t="shared" si="45"/>
        <v>0</v>
      </c>
      <c r="I120" s="128">
        <f t="shared" si="45"/>
        <v>0</v>
      </c>
      <c r="M120" s="7" t="s">
        <v>30</v>
      </c>
      <c r="N120" s="7">
        <v>50000000</v>
      </c>
      <c r="O120" s="7">
        <v>300</v>
      </c>
      <c r="P120" s="7">
        <v>300</v>
      </c>
      <c r="Q120" s="7">
        <v>300</v>
      </c>
      <c r="R120" s="135">
        <f t="shared" si="40"/>
        <v>0</v>
      </c>
      <c r="S120" s="136">
        <f t="shared" si="41"/>
        <v>0</v>
      </c>
      <c r="T120" s="135">
        <f t="shared" si="42"/>
        <v>0</v>
      </c>
      <c r="U120" s="136">
        <f t="shared" si="43"/>
        <v>0</v>
      </c>
      <c r="AK120"/>
    </row>
    <row r="121" spans="1:37">
      <c r="A121" s="7" t="s">
        <v>127</v>
      </c>
      <c r="B121" s="83" t="s">
        <v>8</v>
      </c>
      <c r="C121" s="14">
        <f t="shared" si="45"/>
        <v>17400</v>
      </c>
      <c r="D121" s="14">
        <f t="shared" si="45"/>
        <v>17900</v>
      </c>
      <c r="E121" s="14">
        <f t="shared" si="45"/>
        <v>17400</v>
      </c>
      <c r="F121" s="14">
        <f t="shared" si="45"/>
        <v>-500</v>
      </c>
      <c r="G121" s="128">
        <f t="shared" si="45"/>
        <v>-2.7900000000000001E-2</v>
      </c>
      <c r="H121" s="14">
        <f t="shared" si="45"/>
        <v>0</v>
      </c>
      <c r="I121" s="128">
        <f t="shared" si="45"/>
        <v>0</v>
      </c>
      <c r="M121" s="7" t="s">
        <v>221</v>
      </c>
      <c r="N121" s="7">
        <v>55000000</v>
      </c>
      <c r="O121" s="14">
        <v>1800</v>
      </c>
      <c r="P121" s="14">
        <v>1900</v>
      </c>
      <c r="Q121" s="14">
        <v>1800</v>
      </c>
      <c r="R121" s="135">
        <f t="shared" si="40"/>
        <v>-100</v>
      </c>
      <c r="S121" s="136">
        <f t="shared" si="41"/>
        <v>-5.2631578947368418E-2</v>
      </c>
      <c r="T121" s="135">
        <f t="shared" si="42"/>
        <v>0</v>
      </c>
      <c r="U121" s="136">
        <f t="shared" si="43"/>
        <v>0</v>
      </c>
      <c r="AK121"/>
    </row>
    <row r="122" spans="1:37">
      <c r="A122" s="7" t="s">
        <v>134</v>
      </c>
      <c r="B122" s="83" t="s">
        <v>13</v>
      </c>
      <c r="C122" s="14">
        <f t="shared" ref="C122:I124" si="46">Y73</f>
        <v>3900</v>
      </c>
      <c r="D122" s="14">
        <f t="shared" si="46"/>
        <v>3700</v>
      </c>
      <c r="E122" s="14">
        <f t="shared" si="46"/>
        <v>3800</v>
      </c>
      <c r="F122" s="14">
        <f t="shared" si="46"/>
        <v>200</v>
      </c>
      <c r="G122" s="128">
        <f t="shared" si="46"/>
        <v>5.4100000000000002E-2</v>
      </c>
      <c r="H122" s="14">
        <f t="shared" si="46"/>
        <v>100</v>
      </c>
      <c r="I122" s="128">
        <f t="shared" si="46"/>
        <v>2.63E-2</v>
      </c>
      <c r="M122" s="7" t="s">
        <v>443</v>
      </c>
      <c r="N122" s="7">
        <v>60000000</v>
      </c>
      <c r="O122" s="14">
        <v>6300</v>
      </c>
      <c r="P122" s="14">
        <v>6300</v>
      </c>
      <c r="Q122" s="14">
        <v>6200</v>
      </c>
      <c r="R122" s="135">
        <f t="shared" si="40"/>
        <v>0</v>
      </c>
      <c r="S122" s="136">
        <f t="shared" si="41"/>
        <v>0</v>
      </c>
      <c r="T122" s="135">
        <f t="shared" si="42"/>
        <v>100</v>
      </c>
      <c r="U122" s="136">
        <f t="shared" si="43"/>
        <v>1.6129032258064516E-2</v>
      </c>
      <c r="Y122" s="87"/>
      <c r="Z122" s="87"/>
      <c r="AA122" s="87"/>
      <c r="AK122"/>
    </row>
    <row r="123" spans="1:37">
      <c r="A123" s="7" t="s">
        <v>30</v>
      </c>
      <c r="B123" s="83">
        <v>50000000</v>
      </c>
      <c r="C123" s="14">
        <f t="shared" si="46"/>
        <v>2700</v>
      </c>
      <c r="D123" s="14">
        <f t="shared" si="46"/>
        <v>2700</v>
      </c>
      <c r="E123" s="14">
        <f t="shared" si="46"/>
        <v>2700</v>
      </c>
      <c r="F123" s="14">
        <f t="shared" si="46"/>
        <v>0</v>
      </c>
      <c r="G123" s="128">
        <f t="shared" si="46"/>
        <v>0</v>
      </c>
      <c r="H123" s="14">
        <f t="shared" si="46"/>
        <v>0</v>
      </c>
      <c r="I123" s="128">
        <f t="shared" si="46"/>
        <v>0</v>
      </c>
      <c r="M123" s="7" t="s">
        <v>520</v>
      </c>
      <c r="N123" s="7">
        <v>65000000</v>
      </c>
      <c r="O123" s="14">
        <v>11200</v>
      </c>
      <c r="P123" s="14">
        <v>11200</v>
      </c>
      <c r="Q123" s="14">
        <v>10700</v>
      </c>
      <c r="R123" s="135">
        <f t="shared" si="40"/>
        <v>0</v>
      </c>
      <c r="S123" s="136">
        <f t="shared" si="41"/>
        <v>0</v>
      </c>
      <c r="T123" s="135">
        <f t="shared" si="42"/>
        <v>500</v>
      </c>
      <c r="U123" s="136">
        <f t="shared" si="43"/>
        <v>4.6728971962616821E-2</v>
      </c>
      <c r="AK123"/>
    </row>
    <row r="124" spans="1:37">
      <c r="A124" s="7" t="s">
        <v>221</v>
      </c>
      <c r="B124" s="83">
        <v>55000000</v>
      </c>
      <c r="C124" s="14">
        <f t="shared" si="46"/>
        <v>7000</v>
      </c>
      <c r="D124" s="14">
        <f t="shared" si="46"/>
        <v>7000</v>
      </c>
      <c r="E124" s="14">
        <f t="shared" si="46"/>
        <v>7000</v>
      </c>
      <c r="F124" s="14">
        <f t="shared" si="46"/>
        <v>0</v>
      </c>
      <c r="G124" s="128">
        <f t="shared" si="46"/>
        <v>0</v>
      </c>
      <c r="H124" s="14">
        <f t="shared" si="46"/>
        <v>0</v>
      </c>
      <c r="I124" s="128">
        <f t="shared" si="46"/>
        <v>0</v>
      </c>
      <c r="M124" s="7" t="s">
        <v>457</v>
      </c>
      <c r="N124" s="7">
        <v>70000000</v>
      </c>
      <c r="O124" s="14">
        <v>8600</v>
      </c>
      <c r="P124" s="14">
        <v>9600</v>
      </c>
      <c r="Q124" s="14">
        <v>8500</v>
      </c>
      <c r="R124" s="135">
        <f t="shared" si="40"/>
        <v>-1000</v>
      </c>
      <c r="S124" s="136">
        <f t="shared" si="41"/>
        <v>-0.10416666666666667</v>
      </c>
      <c r="T124" s="135">
        <f t="shared" si="42"/>
        <v>100</v>
      </c>
      <c r="U124" s="136">
        <f t="shared" si="43"/>
        <v>1.1764705882352941E-2</v>
      </c>
      <c r="X124" s="188"/>
      <c r="Y124" s="188"/>
      <c r="Z124" s="188"/>
      <c r="AA124" s="188"/>
      <c r="AK124"/>
    </row>
    <row r="125" spans="1:37">
      <c r="A125" s="7" t="s">
        <v>129</v>
      </c>
      <c r="B125" s="83">
        <v>60000000</v>
      </c>
      <c r="C125" s="14">
        <f t="shared" ref="C125:I126" si="47">Y77</f>
        <v>16400</v>
      </c>
      <c r="D125" s="14">
        <f t="shared" si="47"/>
        <v>16800</v>
      </c>
      <c r="E125" s="14">
        <f t="shared" si="47"/>
        <v>16500</v>
      </c>
      <c r="F125" s="14">
        <f t="shared" si="47"/>
        <v>-400</v>
      </c>
      <c r="G125" s="128">
        <f t="shared" si="47"/>
        <v>-2.3800000000000002E-2</v>
      </c>
      <c r="H125" s="14">
        <f t="shared" si="47"/>
        <v>-100</v>
      </c>
      <c r="I125" s="128">
        <f t="shared" si="47"/>
        <v>-6.1000000000000004E-3</v>
      </c>
      <c r="M125" s="7" t="s">
        <v>469</v>
      </c>
      <c r="N125" s="7">
        <v>80000000</v>
      </c>
      <c r="O125" s="14">
        <v>2900</v>
      </c>
      <c r="P125" s="14">
        <v>3000</v>
      </c>
      <c r="Q125" s="14">
        <v>2800</v>
      </c>
      <c r="R125" s="135">
        <f t="shared" si="40"/>
        <v>-100</v>
      </c>
      <c r="S125" s="136">
        <f t="shared" si="41"/>
        <v>-3.3333333333333333E-2</v>
      </c>
      <c r="T125" s="135">
        <f t="shared" si="42"/>
        <v>100</v>
      </c>
      <c r="U125" s="136">
        <f t="shared" si="43"/>
        <v>3.5714285714285712E-2</v>
      </c>
      <c r="X125" s="47"/>
      <c r="Z125" s="47"/>
      <c r="AE125" s="87"/>
      <c r="AK125"/>
    </row>
    <row r="126" spans="1:37">
      <c r="A126" s="7" t="s">
        <v>572</v>
      </c>
      <c r="B126" s="83">
        <v>65000000</v>
      </c>
      <c r="C126" s="14">
        <f t="shared" si="47"/>
        <v>21000</v>
      </c>
      <c r="D126" s="14">
        <f t="shared" si="47"/>
        <v>20400</v>
      </c>
      <c r="E126" s="14">
        <f t="shared" si="47"/>
        <v>19600</v>
      </c>
      <c r="F126" s="14">
        <f t="shared" si="47"/>
        <v>600</v>
      </c>
      <c r="G126" s="128">
        <f t="shared" si="47"/>
        <v>2.9399999999999999E-2</v>
      </c>
      <c r="H126" s="14">
        <f t="shared" si="47"/>
        <v>1400</v>
      </c>
      <c r="I126" s="128">
        <f t="shared" si="47"/>
        <v>7.1400000000000005E-2</v>
      </c>
      <c r="M126" s="7" t="s">
        <v>44</v>
      </c>
      <c r="N126" s="7">
        <v>90000000</v>
      </c>
      <c r="O126" s="14">
        <v>9400</v>
      </c>
      <c r="P126" s="14">
        <v>8600</v>
      </c>
      <c r="Q126" s="14">
        <v>9100</v>
      </c>
      <c r="R126" s="135">
        <f>O126-P126</f>
        <v>800</v>
      </c>
      <c r="S126" s="136">
        <f t="shared" si="41"/>
        <v>9.3023255813953487E-2</v>
      </c>
      <c r="T126" s="135">
        <f>O126-Q126</f>
        <v>300</v>
      </c>
      <c r="U126" s="136">
        <f t="shared" si="43"/>
        <v>3.2967032967032968E-2</v>
      </c>
    </row>
    <row r="127" spans="1:37">
      <c r="A127" s="7" t="s">
        <v>128</v>
      </c>
      <c r="B127" s="83" t="s">
        <v>9</v>
      </c>
      <c r="C127" s="14">
        <f t="shared" ref="C127:I127" si="48">Y80</f>
        <v>12600</v>
      </c>
      <c r="D127" s="14">
        <f t="shared" si="48"/>
        <v>13500</v>
      </c>
      <c r="E127" s="14">
        <f t="shared" si="48"/>
        <v>12100</v>
      </c>
      <c r="F127" s="14">
        <f t="shared" si="48"/>
        <v>-900</v>
      </c>
      <c r="G127" s="128">
        <f t="shared" si="48"/>
        <v>-6.6699999999999995E-2</v>
      </c>
      <c r="H127" s="14">
        <f t="shared" si="48"/>
        <v>500</v>
      </c>
      <c r="I127" s="128">
        <f t="shared" si="48"/>
        <v>4.1300000000000003E-2</v>
      </c>
      <c r="M127" s="7" t="s">
        <v>47</v>
      </c>
      <c r="N127" s="7">
        <v>90930000</v>
      </c>
      <c r="O127" s="14">
        <v>7900</v>
      </c>
      <c r="P127" s="14">
        <v>7200</v>
      </c>
      <c r="Q127" s="14">
        <v>7600</v>
      </c>
      <c r="R127" s="135">
        <f>O127-P127</f>
        <v>700</v>
      </c>
      <c r="S127" s="136">
        <f t="shared" si="41"/>
        <v>9.7222222222222224E-2</v>
      </c>
      <c r="T127" s="135">
        <f>O127-Q127</f>
        <v>300</v>
      </c>
      <c r="U127" s="136">
        <f t="shared" ref="U127" si="49">T127/Q127</f>
        <v>3.9473684210526314E-2</v>
      </c>
      <c r="AF127" s="3"/>
      <c r="AG127" s="3"/>
      <c r="AH127" s="3"/>
      <c r="AI127" s="3"/>
    </row>
    <row r="128" spans="1:37">
      <c r="A128" s="7" t="s">
        <v>130</v>
      </c>
      <c r="B128" s="83" t="s">
        <v>10</v>
      </c>
      <c r="C128" s="7">
        <f t="shared" ref="C128:I129" si="50">Y82</f>
        <v>5200</v>
      </c>
      <c r="D128" s="7">
        <f t="shared" si="50"/>
        <v>5400</v>
      </c>
      <c r="E128" s="7">
        <f t="shared" si="50"/>
        <v>5200</v>
      </c>
      <c r="F128" s="7">
        <f t="shared" si="50"/>
        <v>-200</v>
      </c>
      <c r="G128" s="128">
        <f t="shared" si="50"/>
        <v>-3.6999999999999998E-2</v>
      </c>
      <c r="H128" s="7">
        <f t="shared" si="50"/>
        <v>0</v>
      </c>
      <c r="I128" s="128">
        <f t="shared" si="50"/>
        <v>0</v>
      </c>
      <c r="AF128"/>
      <c r="AG128"/>
      <c r="AH128"/>
      <c r="AI128"/>
    </row>
    <row r="129" spans="1:35">
      <c r="A129" s="7" t="s">
        <v>131</v>
      </c>
      <c r="B129" s="83" t="s">
        <v>11</v>
      </c>
      <c r="C129" s="14">
        <f t="shared" si="50"/>
        <v>13400</v>
      </c>
      <c r="D129" s="14">
        <f t="shared" si="50"/>
        <v>10900</v>
      </c>
      <c r="E129" s="14">
        <f t="shared" si="50"/>
        <v>13300</v>
      </c>
      <c r="F129" s="14">
        <f t="shared" si="50"/>
        <v>2500</v>
      </c>
      <c r="G129" s="128">
        <f t="shared" si="50"/>
        <v>0.22939999999999999</v>
      </c>
      <c r="H129" s="14">
        <f t="shared" si="50"/>
        <v>100</v>
      </c>
      <c r="I129" s="128">
        <f t="shared" si="50"/>
        <v>7.4999999999999997E-3</v>
      </c>
      <c r="Z129" s="188"/>
      <c r="AF129"/>
      <c r="AG129"/>
      <c r="AH129"/>
      <c r="AI129"/>
    </row>
    <row r="130" spans="1:35">
      <c r="A130" s="130" t="s">
        <v>117</v>
      </c>
      <c r="G130" s="134"/>
      <c r="I130" s="134"/>
      <c r="R130" s="199" t="s">
        <v>527</v>
      </c>
      <c r="S130" s="135"/>
      <c r="T130" s="199" t="s">
        <v>529</v>
      </c>
      <c r="U130" s="135"/>
      <c r="AF130"/>
      <c r="AG130"/>
      <c r="AH130"/>
      <c r="AI130"/>
    </row>
    <row r="131" spans="1:35">
      <c r="A131" s="7" t="s">
        <v>124</v>
      </c>
      <c r="B131" s="83" t="s">
        <v>6</v>
      </c>
      <c r="C131" s="14">
        <f t="shared" ref="C131:I136" si="51">Y94</f>
        <v>99200</v>
      </c>
      <c r="D131" s="14">
        <f t="shared" si="51"/>
        <v>100600</v>
      </c>
      <c r="E131" s="14">
        <f t="shared" si="51"/>
        <v>97100</v>
      </c>
      <c r="F131" s="14">
        <f t="shared" si="51"/>
        <v>-1400</v>
      </c>
      <c r="G131" s="128">
        <f t="shared" si="51"/>
        <v>-1.3899999999999999E-2</v>
      </c>
      <c r="H131" s="14">
        <f t="shared" si="51"/>
        <v>2100</v>
      </c>
      <c r="I131" s="128">
        <f t="shared" si="51"/>
        <v>2.1600000000000001E-2</v>
      </c>
      <c r="M131" s="130" t="s">
        <v>115</v>
      </c>
      <c r="O131" s="230">
        <v>45536</v>
      </c>
      <c r="P131" s="231">
        <v>45505</v>
      </c>
      <c r="Q131" s="232">
        <v>45170</v>
      </c>
      <c r="R131" s="199" t="s">
        <v>413</v>
      </c>
      <c r="S131" s="199" t="s">
        <v>528</v>
      </c>
      <c r="T131" s="199" t="s">
        <v>413</v>
      </c>
      <c r="U131" s="199" t="s">
        <v>528</v>
      </c>
      <c r="AF131"/>
      <c r="AG131"/>
      <c r="AH131"/>
      <c r="AI131"/>
    </row>
    <row r="132" spans="1:35">
      <c r="A132" s="7" t="s">
        <v>43</v>
      </c>
      <c r="B132" s="84" t="s">
        <v>220</v>
      </c>
      <c r="C132" s="14">
        <f t="shared" si="51"/>
        <v>83500</v>
      </c>
      <c r="D132" s="14">
        <f t="shared" si="51"/>
        <v>85800</v>
      </c>
      <c r="E132" s="14">
        <f t="shared" si="51"/>
        <v>82000</v>
      </c>
      <c r="F132" s="14">
        <f t="shared" si="51"/>
        <v>-2300</v>
      </c>
      <c r="G132" s="128">
        <f t="shared" si="51"/>
        <v>-2.6800000000000001E-2</v>
      </c>
      <c r="H132" s="14">
        <f t="shared" si="51"/>
        <v>1500</v>
      </c>
      <c r="I132" s="128">
        <f t="shared" si="51"/>
        <v>1.83E-2</v>
      </c>
      <c r="M132" s="7" t="s">
        <v>415</v>
      </c>
      <c r="N132" s="7">
        <v>0</v>
      </c>
      <c r="O132" s="14">
        <v>158300</v>
      </c>
      <c r="P132" s="14">
        <v>158400</v>
      </c>
      <c r="Q132" s="14">
        <v>156700</v>
      </c>
      <c r="R132" s="196">
        <f>O132-P132</f>
        <v>-100</v>
      </c>
      <c r="S132" s="136">
        <f>R132/P132</f>
        <v>-6.3131313131313137E-4</v>
      </c>
      <c r="T132" s="135">
        <f>O132-Q132</f>
        <v>1600</v>
      </c>
      <c r="U132" s="136">
        <f>T132/Q132</f>
        <v>1.021059349074665E-2</v>
      </c>
      <c r="AF132"/>
      <c r="AG132"/>
      <c r="AH132"/>
      <c r="AI132"/>
    </row>
    <row r="133" spans="1:35">
      <c r="A133" s="7" t="s">
        <v>20</v>
      </c>
      <c r="B133" s="84" t="s">
        <v>222</v>
      </c>
      <c r="C133" s="14">
        <f t="shared" si="51"/>
        <v>13300</v>
      </c>
      <c r="D133" s="14">
        <f t="shared" si="51"/>
        <v>13300</v>
      </c>
      <c r="E133" s="14">
        <f t="shared" si="51"/>
        <v>13100</v>
      </c>
      <c r="F133" s="14">
        <f t="shared" si="51"/>
        <v>0</v>
      </c>
      <c r="G133" s="128">
        <f t="shared" si="51"/>
        <v>0</v>
      </c>
      <c r="H133" s="14">
        <f t="shared" si="51"/>
        <v>200</v>
      </c>
      <c r="I133" s="128">
        <f t="shared" si="51"/>
        <v>1.5299999999999999E-2</v>
      </c>
      <c r="M133" s="7" t="s">
        <v>43</v>
      </c>
      <c r="N133" s="7">
        <v>5000000</v>
      </c>
      <c r="O133" s="14">
        <v>132600</v>
      </c>
      <c r="P133" s="14">
        <v>134400</v>
      </c>
      <c r="Q133" s="14">
        <v>131800</v>
      </c>
      <c r="R133" s="135">
        <f t="shared" ref="R133:R153" si="52">O133-P133</f>
        <v>-1800</v>
      </c>
      <c r="S133" s="136">
        <f t="shared" ref="S133:S154" si="53">R133/P133</f>
        <v>-1.3392857142857142E-2</v>
      </c>
      <c r="T133" s="135">
        <f t="shared" ref="T133:T153" si="54">O133-Q133</f>
        <v>800</v>
      </c>
      <c r="U133" s="136">
        <f t="shared" ref="U133:U154" si="55">T133/Q133</f>
        <v>6.0698027314112293E-3</v>
      </c>
    </row>
    <row r="134" spans="1:35">
      <c r="A134" s="7" t="s">
        <v>25</v>
      </c>
      <c r="B134" s="84" t="s">
        <v>223</v>
      </c>
      <c r="C134" s="14">
        <f t="shared" si="51"/>
        <v>85900</v>
      </c>
      <c r="D134" s="14">
        <f t="shared" si="51"/>
        <v>87300</v>
      </c>
      <c r="E134" s="14">
        <f t="shared" si="51"/>
        <v>84000</v>
      </c>
      <c r="F134" s="14">
        <f t="shared" si="51"/>
        <v>-1400</v>
      </c>
      <c r="G134" s="128">
        <f t="shared" si="51"/>
        <v>-1.6E-2</v>
      </c>
      <c r="H134" s="14">
        <f t="shared" si="51"/>
        <v>1900</v>
      </c>
      <c r="I134" s="128">
        <f t="shared" si="51"/>
        <v>2.2599999999999999E-2</v>
      </c>
      <c r="M134" s="7" t="s">
        <v>521</v>
      </c>
      <c r="N134" s="7">
        <v>6000000</v>
      </c>
      <c r="O134" s="14">
        <v>34500</v>
      </c>
      <c r="P134" s="14">
        <v>34500</v>
      </c>
      <c r="Q134" s="14">
        <v>35100</v>
      </c>
      <c r="R134" s="135">
        <f t="shared" si="52"/>
        <v>0</v>
      </c>
      <c r="S134" s="136">
        <f t="shared" si="53"/>
        <v>0</v>
      </c>
      <c r="T134" s="135">
        <f t="shared" si="54"/>
        <v>-600</v>
      </c>
      <c r="U134" s="136">
        <f t="shared" si="55"/>
        <v>-1.7094017094017096E-2</v>
      </c>
    </row>
    <row r="135" spans="1:35">
      <c r="A135" s="7" t="s">
        <v>230</v>
      </c>
      <c r="B135" s="84" t="s">
        <v>229</v>
      </c>
      <c r="C135" s="14">
        <f t="shared" si="51"/>
        <v>70200</v>
      </c>
      <c r="D135" s="14">
        <f t="shared" si="51"/>
        <v>72500</v>
      </c>
      <c r="E135" s="14">
        <f t="shared" si="51"/>
        <v>68900</v>
      </c>
      <c r="F135" s="14">
        <f t="shared" si="51"/>
        <v>-2300</v>
      </c>
      <c r="G135" s="128">
        <f t="shared" si="51"/>
        <v>-3.1699999999999999E-2</v>
      </c>
      <c r="H135" s="14">
        <f t="shared" si="51"/>
        <v>1300</v>
      </c>
      <c r="I135" s="128">
        <f t="shared" si="51"/>
        <v>1.89E-2</v>
      </c>
      <c r="M135" s="7" t="s">
        <v>417</v>
      </c>
      <c r="N135" s="7">
        <v>7000000</v>
      </c>
      <c r="O135" s="14">
        <v>123800</v>
      </c>
      <c r="P135" s="14">
        <v>123900</v>
      </c>
      <c r="Q135" s="14">
        <v>121600</v>
      </c>
      <c r="R135" s="135">
        <f t="shared" si="52"/>
        <v>-100</v>
      </c>
      <c r="S135" s="136">
        <f t="shared" si="53"/>
        <v>-8.0710250201775622E-4</v>
      </c>
      <c r="T135" s="135">
        <f t="shared" si="54"/>
        <v>2200</v>
      </c>
      <c r="U135" s="136">
        <f t="shared" si="55"/>
        <v>1.8092105263157895E-2</v>
      </c>
    </row>
    <row r="136" spans="1:35">
      <c r="A136" s="7" t="s">
        <v>132</v>
      </c>
      <c r="B136" s="84">
        <v>15000000</v>
      </c>
      <c r="C136" s="14">
        <f t="shared" si="51"/>
        <v>3500</v>
      </c>
      <c r="D136" s="14">
        <f t="shared" si="51"/>
        <v>3500</v>
      </c>
      <c r="E136" s="14">
        <f t="shared" si="51"/>
        <v>3300</v>
      </c>
      <c r="F136" s="14">
        <f t="shared" si="51"/>
        <v>0</v>
      </c>
      <c r="G136" s="128">
        <f t="shared" si="51"/>
        <v>0</v>
      </c>
      <c r="H136" s="14">
        <f t="shared" si="51"/>
        <v>200</v>
      </c>
      <c r="I136" s="128">
        <f t="shared" si="51"/>
        <v>6.0600000000000001E-2</v>
      </c>
      <c r="M136" s="7" t="s">
        <v>418</v>
      </c>
      <c r="N136" s="7">
        <v>8000000</v>
      </c>
      <c r="O136" s="14">
        <v>98100</v>
      </c>
      <c r="P136" s="14">
        <v>99900</v>
      </c>
      <c r="Q136" s="14">
        <v>96700</v>
      </c>
      <c r="R136" s="135">
        <f t="shared" si="52"/>
        <v>-1800</v>
      </c>
      <c r="S136" s="136">
        <f t="shared" si="53"/>
        <v>-1.8018018018018018E-2</v>
      </c>
      <c r="T136" s="135">
        <f t="shared" si="54"/>
        <v>1400</v>
      </c>
      <c r="U136" s="136">
        <f t="shared" si="55"/>
        <v>1.4477766287487074E-2</v>
      </c>
    </row>
    <row r="137" spans="1:35">
      <c r="A137" s="7" t="s">
        <v>219</v>
      </c>
      <c r="B137" s="84" t="s">
        <v>231</v>
      </c>
      <c r="C137" s="109" t="s">
        <v>140</v>
      </c>
      <c r="D137" s="109" t="s">
        <v>140</v>
      </c>
      <c r="E137" s="109" t="s">
        <v>140</v>
      </c>
      <c r="F137" s="109" t="s">
        <v>140</v>
      </c>
      <c r="G137" s="133" t="s">
        <v>140</v>
      </c>
      <c r="H137" s="109" t="s">
        <v>140</v>
      </c>
      <c r="I137" s="133" t="s">
        <v>140</v>
      </c>
      <c r="M137" s="7" t="s">
        <v>485</v>
      </c>
      <c r="N137" s="7">
        <v>15000000</v>
      </c>
      <c r="O137" s="14">
        <v>9900</v>
      </c>
      <c r="P137" s="14">
        <v>9900</v>
      </c>
      <c r="Q137" s="14">
        <v>10000</v>
      </c>
      <c r="R137" s="135">
        <f t="shared" si="52"/>
        <v>0</v>
      </c>
      <c r="S137" s="136">
        <f t="shared" si="53"/>
        <v>0</v>
      </c>
      <c r="T137" s="135">
        <f t="shared" si="54"/>
        <v>-100</v>
      </c>
      <c r="U137" s="136">
        <f t="shared" si="55"/>
        <v>-0.01</v>
      </c>
    </row>
    <row r="138" spans="1:35">
      <c r="A138" s="7" t="s">
        <v>23</v>
      </c>
      <c r="B138" s="83">
        <v>20000000</v>
      </c>
      <c r="C138" s="109" t="s">
        <v>140</v>
      </c>
      <c r="D138" s="109" t="s">
        <v>140</v>
      </c>
      <c r="E138" s="109" t="s">
        <v>140</v>
      </c>
      <c r="F138" s="109" t="s">
        <v>140</v>
      </c>
      <c r="G138" s="133" t="s">
        <v>140</v>
      </c>
      <c r="H138" s="109" t="s">
        <v>140</v>
      </c>
      <c r="I138" s="133" t="s">
        <v>140</v>
      </c>
      <c r="M138" s="7" t="s">
        <v>24</v>
      </c>
      <c r="N138" s="7">
        <v>30000000</v>
      </c>
      <c r="O138" s="14">
        <v>24600</v>
      </c>
      <c r="P138" s="14">
        <v>24600</v>
      </c>
      <c r="Q138" s="14">
        <v>25100</v>
      </c>
      <c r="R138" s="135">
        <f t="shared" si="52"/>
        <v>0</v>
      </c>
      <c r="S138" s="136">
        <f t="shared" si="53"/>
        <v>0</v>
      </c>
      <c r="T138" s="135">
        <f t="shared" si="54"/>
        <v>-500</v>
      </c>
      <c r="U138" s="136">
        <f t="shared" si="55"/>
        <v>-1.9920318725099601E-2</v>
      </c>
    </row>
    <row r="139" spans="1:35">
      <c r="A139" s="7" t="s">
        <v>125</v>
      </c>
      <c r="B139" s="83" t="s">
        <v>7</v>
      </c>
      <c r="C139" s="14">
        <f t="shared" ref="C139:I145" si="56">Y100</f>
        <v>9800</v>
      </c>
      <c r="D139" s="14">
        <f t="shared" si="56"/>
        <v>9800</v>
      </c>
      <c r="E139" s="14">
        <f t="shared" si="56"/>
        <v>9800</v>
      </c>
      <c r="F139" s="14">
        <f t="shared" si="56"/>
        <v>0</v>
      </c>
      <c r="G139" s="128">
        <f t="shared" si="56"/>
        <v>0</v>
      </c>
      <c r="H139" s="14">
        <f t="shared" si="56"/>
        <v>0</v>
      </c>
      <c r="I139" s="128">
        <f t="shared" si="56"/>
        <v>0</v>
      </c>
      <c r="M139" s="7" t="s">
        <v>523</v>
      </c>
      <c r="N139" s="7">
        <v>31000000</v>
      </c>
      <c r="O139" s="14">
        <v>17200</v>
      </c>
      <c r="P139" s="14">
        <v>17200</v>
      </c>
      <c r="Q139" s="14">
        <v>17600</v>
      </c>
      <c r="R139" s="135">
        <f t="shared" si="52"/>
        <v>0</v>
      </c>
      <c r="S139" s="136">
        <f t="shared" si="53"/>
        <v>0</v>
      </c>
      <c r="T139" s="135">
        <f t="shared" si="54"/>
        <v>-400</v>
      </c>
      <c r="U139" s="136">
        <f t="shared" si="55"/>
        <v>-2.2727272727272728E-2</v>
      </c>
    </row>
    <row r="140" spans="1:35">
      <c r="A140" s="7" t="s">
        <v>232</v>
      </c>
      <c r="B140" s="83">
        <v>40000000</v>
      </c>
      <c r="C140" s="14">
        <f t="shared" si="56"/>
        <v>16400</v>
      </c>
      <c r="D140" s="14">
        <f t="shared" si="56"/>
        <v>16700</v>
      </c>
      <c r="E140" s="14">
        <f t="shared" si="56"/>
        <v>16400</v>
      </c>
      <c r="F140" s="14">
        <f t="shared" si="56"/>
        <v>-300</v>
      </c>
      <c r="G140" s="128">
        <f t="shared" si="56"/>
        <v>-1.7999999999999999E-2</v>
      </c>
      <c r="H140" s="14">
        <f t="shared" si="56"/>
        <v>0</v>
      </c>
      <c r="I140" s="128">
        <f t="shared" si="56"/>
        <v>0</v>
      </c>
      <c r="M140" s="7" t="s">
        <v>425</v>
      </c>
      <c r="N140" s="7">
        <v>31334000</v>
      </c>
      <c r="O140" s="14">
        <v>8600</v>
      </c>
      <c r="P140" s="14">
        <v>8600</v>
      </c>
      <c r="Q140" s="14">
        <v>8800</v>
      </c>
      <c r="R140" s="135">
        <f t="shared" si="52"/>
        <v>0</v>
      </c>
      <c r="S140" s="136">
        <f t="shared" si="53"/>
        <v>0</v>
      </c>
      <c r="T140" s="135">
        <f t="shared" si="54"/>
        <v>-200</v>
      </c>
      <c r="U140" s="136">
        <f t="shared" si="55"/>
        <v>-2.2727272727272728E-2</v>
      </c>
    </row>
    <row r="141" spans="1:35">
      <c r="A141" s="7" t="s">
        <v>126</v>
      </c>
      <c r="B141" s="83" t="s">
        <v>12</v>
      </c>
      <c r="C141" s="14">
        <f t="shared" si="56"/>
        <v>3000</v>
      </c>
      <c r="D141" s="14">
        <f t="shared" si="56"/>
        <v>3000</v>
      </c>
      <c r="E141" s="14">
        <f t="shared" si="56"/>
        <v>3100</v>
      </c>
      <c r="F141" s="14">
        <f t="shared" si="56"/>
        <v>0</v>
      </c>
      <c r="G141" s="128">
        <f t="shared" si="56"/>
        <v>0</v>
      </c>
      <c r="H141" s="14">
        <f t="shared" si="56"/>
        <v>-100</v>
      </c>
      <c r="I141" s="128">
        <f t="shared" si="56"/>
        <v>-3.2300000000000002E-2</v>
      </c>
      <c r="M141" s="7" t="s">
        <v>522</v>
      </c>
      <c r="N141" s="7">
        <v>40000000</v>
      </c>
      <c r="O141" s="14">
        <v>24400</v>
      </c>
      <c r="P141" s="14">
        <v>24500</v>
      </c>
      <c r="Q141" s="14">
        <v>24100</v>
      </c>
      <c r="R141" s="135">
        <f t="shared" si="52"/>
        <v>-100</v>
      </c>
      <c r="S141" s="136">
        <f t="shared" si="53"/>
        <v>-4.0816326530612249E-3</v>
      </c>
      <c r="T141" s="135">
        <f t="shared" si="54"/>
        <v>300</v>
      </c>
      <c r="U141" s="136">
        <f t="shared" si="55"/>
        <v>1.2448132780082987E-2</v>
      </c>
    </row>
    <row r="142" spans="1:35">
      <c r="A142" s="7" t="s">
        <v>127</v>
      </c>
      <c r="B142" s="83" t="s">
        <v>8</v>
      </c>
      <c r="C142" s="14">
        <f t="shared" si="56"/>
        <v>11300</v>
      </c>
      <c r="D142" s="14">
        <f t="shared" si="56"/>
        <v>11600</v>
      </c>
      <c r="E142" s="14">
        <f t="shared" si="56"/>
        <v>11200</v>
      </c>
      <c r="F142" s="14">
        <f t="shared" si="56"/>
        <v>-300</v>
      </c>
      <c r="G142" s="128">
        <f t="shared" si="56"/>
        <v>-2.5899999999999999E-2</v>
      </c>
      <c r="H142" s="14">
        <f t="shared" si="56"/>
        <v>100</v>
      </c>
      <c r="I142" s="128">
        <f t="shared" si="56"/>
        <v>8.8999999999999999E-3</v>
      </c>
      <c r="M142" s="7" t="s">
        <v>27</v>
      </c>
      <c r="N142" s="7">
        <v>41000000</v>
      </c>
      <c r="O142" s="14">
        <v>6000</v>
      </c>
      <c r="P142" s="14">
        <v>6000</v>
      </c>
      <c r="Q142" s="14">
        <v>5900</v>
      </c>
      <c r="R142" s="135">
        <f t="shared" si="52"/>
        <v>0</v>
      </c>
      <c r="S142" s="136">
        <f t="shared" si="53"/>
        <v>0</v>
      </c>
      <c r="T142" s="135">
        <f t="shared" si="54"/>
        <v>100</v>
      </c>
      <c r="U142" s="136">
        <f t="shared" si="55"/>
        <v>1.6949152542372881E-2</v>
      </c>
    </row>
    <row r="143" spans="1:35">
      <c r="A143" s="7" t="s">
        <v>134</v>
      </c>
      <c r="B143" s="83" t="s">
        <v>13</v>
      </c>
      <c r="C143" s="14">
        <f t="shared" si="56"/>
        <v>2100</v>
      </c>
      <c r="D143" s="14">
        <f t="shared" si="56"/>
        <v>2100</v>
      </c>
      <c r="E143" s="14">
        <f t="shared" si="56"/>
        <v>2100</v>
      </c>
      <c r="F143" s="14">
        <f t="shared" si="56"/>
        <v>0</v>
      </c>
      <c r="G143" s="128">
        <f t="shared" si="56"/>
        <v>0</v>
      </c>
      <c r="H143" s="14">
        <f t="shared" si="56"/>
        <v>0</v>
      </c>
      <c r="I143" s="128">
        <f t="shared" si="56"/>
        <v>0</v>
      </c>
      <c r="M143" s="7" t="s">
        <v>28</v>
      </c>
      <c r="N143" s="7">
        <v>42000000</v>
      </c>
      <c r="O143" s="14">
        <v>12700</v>
      </c>
      <c r="P143" s="14">
        <v>13100</v>
      </c>
      <c r="Q143" s="14">
        <v>12500</v>
      </c>
      <c r="R143" s="135">
        <f t="shared" si="52"/>
        <v>-400</v>
      </c>
      <c r="S143" s="136">
        <f t="shared" si="53"/>
        <v>-3.0534351145038167E-2</v>
      </c>
      <c r="T143" s="135">
        <f t="shared" si="54"/>
        <v>200</v>
      </c>
      <c r="U143" s="136">
        <f t="shared" si="55"/>
        <v>1.6E-2</v>
      </c>
    </row>
    <row r="144" spans="1:35">
      <c r="A144" s="7" t="s">
        <v>30</v>
      </c>
      <c r="B144" s="83">
        <v>50000000</v>
      </c>
      <c r="C144" s="14">
        <f t="shared" si="56"/>
        <v>1600</v>
      </c>
      <c r="D144" s="14">
        <f t="shared" si="56"/>
        <v>1700</v>
      </c>
      <c r="E144" s="14">
        <f t="shared" si="56"/>
        <v>1700</v>
      </c>
      <c r="F144" s="14">
        <f t="shared" si="56"/>
        <v>-100</v>
      </c>
      <c r="G144" s="128">
        <f t="shared" si="56"/>
        <v>-5.8799999999999998E-2</v>
      </c>
      <c r="H144" s="14">
        <f t="shared" si="56"/>
        <v>-100</v>
      </c>
      <c r="I144" s="128">
        <f t="shared" si="56"/>
        <v>-5.8799999999999998E-2</v>
      </c>
      <c r="M144" s="7" t="s">
        <v>524</v>
      </c>
      <c r="N144" s="7">
        <v>43000000</v>
      </c>
      <c r="O144" s="14">
        <v>5700</v>
      </c>
      <c r="P144" s="14">
        <v>5400</v>
      </c>
      <c r="Q144" s="14">
        <v>5700</v>
      </c>
      <c r="R144" s="135">
        <f t="shared" si="52"/>
        <v>300</v>
      </c>
      <c r="S144" s="136">
        <f t="shared" si="53"/>
        <v>5.5555555555555552E-2</v>
      </c>
      <c r="T144" s="135">
        <f t="shared" si="54"/>
        <v>0</v>
      </c>
      <c r="U144" s="136">
        <f t="shared" si="55"/>
        <v>0</v>
      </c>
    </row>
    <row r="145" spans="1:37">
      <c r="A145" s="7" t="s">
        <v>221</v>
      </c>
      <c r="B145" s="83">
        <v>55000000</v>
      </c>
      <c r="C145" s="14">
        <f t="shared" si="56"/>
        <v>5700</v>
      </c>
      <c r="D145" s="14">
        <f t="shared" si="56"/>
        <v>5700</v>
      </c>
      <c r="E145" s="14">
        <f t="shared" si="56"/>
        <v>5700</v>
      </c>
      <c r="F145" s="14">
        <f t="shared" si="56"/>
        <v>0</v>
      </c>
      <c r="G145" s="128">
        <f t="shared" si="56"/>
        <v>0</v>
      </c>
      <c r="H145" s="14">
        <f t="shared" si="56"/>
        <v>0</v>
      </c>
      <c r="I145" s="128">
        <f t="shared" si="56"/>
        <v>0</v>
      </c>
      <c r="M145" s="7" t="s">
        <v>30</v>
      </c>
      <c r="N145" s="7">
        <v>50000000</v>
      </c>
      <c r="O145" s="14">
        <v>2800</v>
      </c>
      <c r="P145" s="14">
        <v>2800</v>
      </c>
      <c r="Q145" s="14">
        <v>3000</v>
      </c>
      <c r="R145" s="135">
        <f t="shared" si="52"/>
        <v>0</v>
      </c>
      <c r="S145" s="136">
        <f t="shared" si="53"/>
        <v>0</v>
      </c>
      <c r="T145" s="135">
        <f t="shared" si="54"/>
        <v>-200</v>
      </c>
      <c r="U145" s="136">
        <f t="shared" si="55"/>
        <v>-6.6666666666666666E-2</v>
      </c>
    </row>
    <row r="146" spans="1:37">
      <c r="A146" s="7" t="s">
        <v>129</v>
      </c>
      <c r="B146" s="83">
        <v>60000000</v>
      </c>
      <c r="C146" s="14">
        <f t="shared" ref="C146:I150" si="57">Y108</f>
        <v>15600</v>
      </c>
      <c r="D146" s="14">
        <f t="shared" si="57"/>
        <v>15800</v>
      </c>
      <c r="E146" s="14">
        <f t="shared" si="57"/>
        <v>14900</v>
      </c>
      <c r="F146" s="14">
        <f t="shared" si="57"/>
        <v>-200</v>
      </c>
      <c r="G146" s="128">
        <f t="shared" si="57"/>
        <v>-1.2699999999999999E-2</v>
      </c>
      <c r="H146" s="14">
        <f t="shared" si="57"/>
        <v>700</v>
      </c>
      <c r="I146" s="128">
        <f t="shared" si="57"/>
        <v>4.7E-2</v>
      </c>
      <c r="M146" s="7" t="s">
        <v>221</v>
      </c>
      <c r="N146" s="7">
        <v>55000000</v>
      </c>
      <c r="O146" s="14">
        <v>4100</v>
      </c>
      <c r="P146" s="14">
        <v>4200</v>
      </c>
      <c r="Q146" s="14">
        <v>4100</v>
      </c>
      <c r="R146" s="135">
        <f t="shared" si="52"/>
        <v>-100</v>
      </c>
      <c r="S146" s="136">
        <f t="shared" si="53"/>
        <v>-2.3809523809523808E-2</v>
      </c>
      <c r="T146" s="135">
        <f t="shared" si="54"/>
        <v>0</v>
      </c>
      <c r="U146" s="136">
        <f t="shared" si="55"/>
        <v>0</v>
      </c>
    </row>
    <row r="147" spans="1:37">
      <c r="A147" s="7" t="s">
        <v>572</v>
      </c>
      <c r="B147" s="83">
        <v>65000000</v>
      </c>
      <c r="C147" s="14">
        <f t="shared" si="57"/>
        <v>14700</v>
      </c>
      <c r="D147" s="14">
        <f t="shared" si="57"/>
        <v>14700</v>
      </c>
      <c r="E147" s="14">
        <f t="shared" si="57"/>
        <v>14300</v>
      </c>
      <c r="F147" s="14">
        <f t="shared" si="57"/>
        <v>0</v>
      </c>
      <c r="G147" s="128">
        <f t="shared" si="57"/>
        <v>0</v>
      </c>
      <c r="H147" s="14">
        <f t="shared" si="57"/>
        <v>400</v>
      </c>
      <c r="I147" s="128">
        <f t="shared" si="57"/>
        <v>2.8000000000000001E-2</v>
      </c>
      <c r="M147" s="7" t="s">
        <v>443</v>
      </c>
      <c r="N147" s="7">
        <v>60000000</v>
      </c>
      <c r="O147" s="14">
        <v>23800</v>
      </c>
      <c r="P147" s="14">
        <v>24200</v>
      </c>
      <c r="Q147" s="14">
        <v>24000</v>
      </c>
      <c r="R147" s="135">
        <f t="shared" si="52"/>
        <v>-400</v>
      </c>
      <c r="S147" s="136">
        <f t="shared" si="53"/>
        <v>-1.6528925619834711E-2</v>
      </c>
      <c r="T147" s="135">
        <f t="shared" si="54"/>
        <v>-200</v>
      </c>
      <c r="U147" s="136">
        <f t="shared" si="55"/>
        <v>-8.3333333333333332E-3</v>
      </c>
    </row>
    <row r="148" spans="1:37">
      <c r="A148" s="7" t="s">
        <v>128</v>
      </c>
      <c r="B148" s="83" t="s">
        <v>9</v>
      </c>
      <c r="C148" s="14">
        <f t="shared" si="57"/>
        <v>13200</v>
      </c>
      <c r="D148" s="14">
        <f t="shared" si="57"/>
        <v>14900</v>
      </c>
      <c r="E148" s="14">
        <f t="shared" si="57"/>
        <v>13000</v>
      </c>
      <c r="F148" s="14">
        <f t="shared" si="57"/>
        <v>-1700</v>
      </c>
      <c r="G148" s="128">
        <f t="shared" si="57"/>
        <v>-0.11409999999999999</v>
      </c>
      <c r="H148" s="14">
        <f t="shared" si="57"/>
        <v>200</v>
      </c>
      <c r="I148" s="128">
        <f t="shared" si="57"/>
        <v>1.54E-2</v>
      </c>
      <c r="M148" s="7" t="s">
        <v>520</v>
      </c>
      <c r="N148" s="7">
        <v>65000000</v>
      </c>
      <c r="O148" s="14">
        <v>25800</v>
      </c>
      <c r="P148" s="14">
        <v>25800</v>
      </c>
      <c r="Q148" s="14">
        <v>24300</v>
      </c>
      <c r="R148" s="135">
        <f t="shared" si="52"/>
        <v>0</v>
      </c>
      <c r="S148" s="136">
        <f t="shared" si="53"/>
        <v>0</v>
      </c>
      <c r="T148" s="135">
        <f t="shared" si="54"/>
        <v>1500</v>
      </c>
      <c r="U148" s="136">
        <f t="shared" si="55"/>
        <v>6.1728395061728392E-2</v>
      </c>
    </row>
    <row r="149" spans="1:37">
      <c r="A149" s="7" t="s">
        <v>130</v>
      </c>
      <c r="B149" s="83" t="s">
        <v>10</v>
      </c>
      <c r="C149" s="14">
        <f t="shared" si="57"/>
        <v>3000</v>
      </c>
      <c r="D149" s="14">
        <f t="shared" si="57"/>
        <v>3000</v>
      </c>
      <c r="E149" s="14">
        <f t="shared" si="57"/>
        <v>2900</v>
      </c>
      <c r="F149" s="14">
        <f t="shared" si="57"/>
        <v>0</v>
      </c>
      <c r="G149" s="128">
        <f t="shared" si="57"/>
        <v>0</v>
      </c>
      <c r="H149" s="14">
        <f t="shared" si="57"/>
        <v>100</v>
      </c>
      <c r="I149" s="128">
        <f t="shared" si="57"/>
        <v>3.4500000000000003E-2</v>
      </c>
      <c r="M149" s="7" t="s">
        <v>457</v>
      </c>
      <c r="N149" s="7">
        <v>70000000</v>
      </c>
      <c r="O149" s="14">
        <v>12600</v>
      </c>
      <c r="P149" s="14">
        <v>13600</v>
      </c>
      <c r="Q149" s="14">
        <v>12600</v>
      </c>
      <c r="R149" s="135">
        <f t="shared" si="52"/>
        <v>-1000</v>
      </c>
      <c r="S149" s="136">
        <f t="shared" si="53"/>
        <v>-7.3529411764705885E-2</v>
      </c>
      <c r="T149" s="135">
        <f t="shared" si="54"/>
        <v>0</v>
      </c>
      <c r="U149" s="136">
        <f t="shared" si="55"/>
        <v>0</v>
      </c>
    </row>
    <row r="150" spans="1:37">
      <c r="A150" s="7" t="s">
        <v>131</v>
      </c>
      <c r="B150" s="83" t="s">
        <v>11</v>
      </c>
      <c r="C150" s="14">
        <f t="shared" si="57"/>
        <v>15700</v>
      </c>
      <c r="D150" s="14">
        <f t="shared" si="57"/>
        <v>14800</v>
      </c>
      <c r="E150" s="14">
        <f t="shared" si="57"/>
        <v>15100</v>
      </c>
      <c r="F150" s="14">
        <f t="shared" si="57"/>
        <v>900</v>
      </c>
      <c r="G150" s="128">
        <f t="shared" si="57"/>
        <v>6.08E-2</v>
      </c>
      <c r="H150" s="14">
        <f t="shared" si="57"/>
        <v>600</v>
      </c>
      <c r="I150" s="128">
        <f t="shared" si="57"/>
        <v>3.9699999999999999E-2</v>
      </c>
      <c r="M150" s="7" t="s">
        <v>469</v>
      </c>
      <c r="N150" s="7">
        <v>80000000</v>
      </c>
      <c r="O150" s="14">
        <v>4600</v>
      </c>
      <c r="P150" s="14">
        <v>4800</v>
      </c>
      <c r="Q150" s="14">
        <v>4600</v>
      </c>
      <c r="R150" s="135">
        <f t="shared" si="52"/>
        <v>-200</v>
      </c>
      <c r="S150" s="136">
        <f t="shared" si="53"/>
        <v>-4.1666666666666664E-2</v>
      </c>
      <c r="T150" s="135">
        <f t="shared" si="54"/>
        <v>0</v>
      </c>
      <c r="U150" s="136">
        <f t="shared" si="55"/>
        <v>0</v>
      </c>
    </row>
    <row r="151" spans="1:37">
      <c r="A151" s="130" t="s">
        <v>515</v>
      </c>
      <c r="M151" s="7" t="s">
        <v>44</v>
      </c>
      <c r="N151" s="7">
        <v>90000000</v>
      </c>
      <c r="O151" s="14">
        <v>25700</v>
      </c>
      <c r="P151" s="14">
        <v>24000</v>
      </c>
      <c r="Q151" s="14">
        <v>24900</v>
      </c>
      <c r="R151" s="135">
        <f t="shared" si="52"/>
        <v>1700</v>
      </c>
      <c r="S151" s="136">
        <f t="shared" si="53"/>
        <v>7.0833333333333331E-2</v>
      </c>
      <c r="T151" s="135">
        <f t="shared" si="54"/>
        <v>800</v>
      </c>
      <c r="U151" s="136">
        <f t="shared" si="55"/>
        <v>3.2128514056224897E-2</v>
      </c>
    </row>
    <row r="152" spans="1:37">
      <c r="A152" s="7" t="s">
        <v>124</v>
      </c>
      <c r="B152" s="83" t="s">
        <v>6</v>
      </c>
      <c r="C152" s="7">
        <f t="shared" ref="C152:I157" si="58">O111</f>
        <v>68000</v>
      </c>
      <c r="D152" s="7">
        <f t="shared" si="58"/>
        <v>68700</v>
      </c>
      <c r="E152" s="7">
        <f t="shared" si="58"/>
        <v>67100</v>
      </c>
      <c r="F152" s="7">
        <f t="shared" si="58"/>
        <v>-700</v>
      </c>
      <c r="G152" s="127">
        <f t="shared" si="58"/>
        <v>-1.0189228529839884E-2</v>
      </c>
      <c r="H152" s="7">
        <f t="shared" si="58"/>
        <v>900</v>
      </c>
      <c r="I152" s="127">
        <f t="shared" si="58"/>
        <v>1.3412816691505217E-2</v>
      </c>
      <c r="M152" s="7" t="s">
        <v>45</v>
      </c>
      <c r="N152" s="7">
        <v>90910000</v>
      </c>
      <c r="O152" s="14">
        <v>2000</v>
      </c>
      <c r="P152" s="14">
        <v>2000</v>
      </c>
      <c r="Q152" s="14">
        <v>1800</v>
      </c>
      <c r="R152" s="135">
        <f t="shared" si="52"/>
        <v>0</v>
      </c>
      <c r="S152" s="136">
        <f t="shared" si="53"/>
        <v>0</v>
      </c>
      <c r="T152" s="135">
        <f t="shared" si="54"/>
        <v>200</v>
      </c>
      <c r="U152" s="136">
        <f t="shared" si="55"/>
        <v>0.1111111111111111</v>
      </c>
    </row>
    <row r="153" spans="1:37">
      <c r="A153" s="7" t="s">
        <v>43</v>
      </c>
      <c r="B153" s="84" t="s">
        <v>220</v>
      </c>
      <c r="C153" s="7">
        <f t="shared" si="58"/>
        <v>58600</v>
      </c>
      <c r="D153" s="7">
        <f t="shared" si="58"/>
        <v>60100</v>
      </c>
      <c r="E153" s="7">
        <f t="shared" si="58"/>
        <v>58000</v>
      </c>
      <c r="F153" s="7">
        <f t="shared" si="58"/>
        <v>-1500</v>
      </c>
      <c r="G153" s="127">
        <f t="shared" si="58"/>
        <v>-2.4958402662229616E-2</v>
      </c>
      <c r="H153" s="7">
        <f t="shared" si="58"/>
        <v>600</v>
      </c>
      <c r="I153" s="127">
        <f t="shared" si="58"/>
        <v>1.0344827586206896E-2</v>
      </c>
      <c r="M153" s="7" t="s">
        <v>46</v>
      </c>
      <c r="N153" s="7">
        <v>90920000</v>
      </c>
      <c r="O153" s="14">
        <v>8600</v>
      </c>
      <c r="P153" s="14">
        <v>8200</v>
      </c>
      <c r="Q153" s="14">
        <v>8200</v>
      </c>
      <c r="R153" s="135">
        <f t="shared" si="52"/>
        <v>400</v>
      </c>
      <c r="S153" s="136">
        <f t="shared" si="53"/>
        <v>4.878048780487805E-2</v>
      </c>
      <c r="T153" s="135">
        <f t="shared" si="54"/>
        <v>400</v>
      </c>
      <c r="U153" s="136">
        <f t="shared" si="55"/>
        <v>4.878048780487805E-2</v>
      </c>
    </row>
    <row r="154" spans="1:37">
      <c r="A154" s="7" t="s">
        <v>20</v>
      </c>
      <c r="B154" s="84" t="s">
        <v>222</v>
      </c>
      <c r="C154" s="7">
        <f t="shared" si="58"/>
        <v>14400</v>
      </c>
      <c r="D154" s="7">
        <f t="shared" si="58"/>
        <v>14300</v>
      </c>
      <c r="E154" s="7">
        <f t="shared" si="58"/>
        <v>14400</v>
      </c>
      <c r="F154" s="7">
        <f t="shared" si="58"/>
        <v>100</v>
      </c>
      <c r="G154" s="127">
        <f t="shared" si="58"/>
        <v>6.993006993006993E-3</v>
      </c>
      <c r="H154" s="7">
        <f t="shared" si="58"/>
        <v>0</v>
      </c>
      <c r="I154" s="127">
        <f t="shared" si="58"/>
        <v>0</v>
      </c>
      <c r="M154" s="7" t="s">
        <v>47</v>
      </c>
      <c r="N154" s="7">
        <v>90930000</v>
      </c>
      <c r="O154" s="14">
        <v>15100</v>
      </c>
      <c r="P154" s="14">
        <v>13800</v>
      </c>
      <c r="Q154" s="14">
        <v>14900</v>
      </c>
      <c r="R154" s="135">
        <f>O154-P154</f>
        <v>1300</v>
      </c>
      <c r="S154" s="136">
        <f t="shared" si="53"/>
        <v>9.420289855072464E-2</v>
      </c>
      <c r="T154" s="135">
        <f>O154-Q154</f>
        <v>200</v>
      </c>
      <c r="U154" s="136">
        <f t="shared" si="55"/>
        <v>1.3422818791946308E-2</v>
      </c>
    </row>
    <row r="155" spans="1:37">
      <c r="A155" s="7" t="s">
        <v>25</v>
      </c>
      <c r="B155" s="84" t="s">
        <v>223</v>
      </c>
      <c r="C155" s="7">
        <f t="shared" si="58"/>
        <v>53600</v>
      </c>
      <c r="D155" s="7">
        <f t="shared" si="58"/>
        <v>54400</v>
      </c>
      <c r="E155" s="7">
        <f t="shared" si="58"/>
        <v>52700</v>
      </c>
      <c r="F155" s="7">
        <f t="shared" si="58"/>
        <v>-800</v>
      </c>
      <c r="G155" s="127">
        <f t="shared" si="58"/>
        <v>-1.4705882352941176E-2</v>
      </c>
      <c r="H155" s="7">
        <f t="shared" si="58"/>
        <v>900</v>
      </c>
      <c r="I155" s="127">
        <f t="shared" si="58"/>
        <v>1.7077798861480076E-2</v>
      </c>
      <c r="W155"/>
      <c r="X155"/>
      <c r="Y155"/>
      <c r="Z155"/>
      <c r="AA155"/>
      <c r="AB155"/>
      <c r="AC155"/>
      <c r="AD155"/>
      <c r="AE155"/>
    </row>
    <row r="156" spans="1:37">
      <c r="A156" s="7" t="s">
        <v>230</v>
      </c>
      <c r="B156" s="84" t="s">
        <v>229</v>
      </c>
      <c r="C156" s="7">
        <f t="shared" si="58"/>
        <v>44200</v>
      </c>
      <c r="D156" s="7">
        <f t="shared" si="58"/>
        <v>45800</v>
      </c>
      <c r="E156" s="7">
        <f t="shared" si="58"/>
        <v>43600</v>
      </c>
      <c r="F156" s="7">
        <f t="shared" si="58"/>
        <v>-1600</v>
      </c>
      <c r="G156" s="127">
        <f t="shared" si="58"/>
        <v>-3.4934497816593885E-2</v>
      </c>
      <c r="H156" s="7">
        <f t="shared" si="58"/>
        <v>600</v>
      </c>
      <c r="I156" s="127">
        <f t="shared" si="58"/>
        <v>1.3761467889908258E-2</v>
      </c>
      <c r="L156"/>
      <c r="M156"/>
      <c r="W156"/>
      <c r="X156"/>
      <c r="Y156"/>
      <c r="Z156"/>
      <c r="AA156"/>
      <c r="AB156"/>
      <c r="AC156"/>
      <c r="AD156"/>
      <c r="AE156"/>
    </row>
    <row r="157" spans="1:37">
      <c r="A157" s="7" t="s">
        <v>132</v>
      </c>
      <c r="B157" s="84">
        <v>15000000</v>
      </c>
      <c r="C157" s="7">
        <f t="shared" si="58"/>
        <v>5400</v>
      </c>
      <c r="D157" s="7">
        <f t="shared" si="58"/>
        <v>5400</v>
      </c>
      <c r="E157" s="7">
        <f t="shared" si="58"/>
        <v>5500</v>
      </c>
      <c r="F157" s="7">
        <f t="shared" si="58"/>
        <v>0</v>
      </c>
      <c r="G157" s="127">
        <f t="shared" si="58"/>
        <v>0</v>
      </c>
      <c r="H157" s="7">
        <f t="shared" si="58"/>
        <v>-100</v>
      </c>
      <c r="I157" s="127">
        <f t="shared" si="58"/>
        <v>-1.8181818181818181E-2</v>
      </c>
      <c r="L157"/>
      <c r="M157"/>
      <c r="V157"/>
      <c r="W157"/>
      <c r="X157" s="197"/>
      <c r="Y157" s="197"/>
      <c r="Z157" s="197"/>
      <c r="AA157" s="197"/>
      <c r="AB157" s="197"/>
      <c r="AC157" s="197"/>
      <c r="AD157" s="197"/>
      <c r="AE157" s="197"/>
      <c r="AF157"/>
      <c r="AG157"/>
      <c r="AH157"/>
      <c r="AI157"/>
      <c r="AJ157"/>
    </row>
    <row r="158" spans="1:37">
      <c r="A158" s="7" t="s">
        <v>219</v>
      </c>
      <c r="B158" s="84" t="s">
        <v>231</v>
      </c>
      <c r="C158" s="109" t="s">
        <v>140</v>
      </c>
      <c r="D158" s="109" t="s">
        <v>140</v>
      </c>
      <c r="E158" s="109" t="s">
        <v>140</v>
      </c>
      <c r="F158" s="109" t="s">
        <v>140</v>
      </c>
      <c r="G158" s="137" t="s">
        <v>140</v>
      </c>
      <c r="H158" s="109" t="s">
        <v>140</v>
      </c>
      <c r="I158" s="137" t="s">
        <v>140</v>
      </c>
      <c r="V158"/>
      <c r="W158"/>
      <c r="X158"/>
      <c r="Y158"/>
      <c r="Z158"/>
      <c r="AA158"/>
      <c r="AB158"/>
      <c r="AC158"/>
      <c r="AD158"/>
      <c r="AE158"/>
      <c r="AF158"/>
      <c r="AG158"/>
      <c r="AH158"/>
      <c r="AI158"/>
      <c r="AK158"/>
    </row>
    <row r="159" spans="1:37">
      <c r="A159" s="7" t="s">
        <v>23</v>
      </c>
      <c r="B159" s="83">
        <v>20000000</v>
      </c>
      <c r="C159" s="109" t="s">
        <v>140</v>
      </c>
      <c r="D159" s="109" t="s">
        <v>140</v>
      </c>
      <c r="E159" s="109" t="s">
        <v>140</v>
      </c>
      <c r="F159" s="109" t="s">
        <v>140</v>
      </c>
      <c r="G159" s="137" t="s">
        <v>140</v>
      </c>
      <c r="H159" s="109" t="s">
        <v>140</v>
      </c>
      <c r="I159" s="137" t="s">
        <v>140</v>
      </c>
      <c r="V159"/>
      <c r="W159"/>
      <c r="X159"/>
      <c r="Y159"/>
      <c r="Z159"/>
      <c r="AA159"/>
      <c r="AB159"/>
      <c r="AC159"/>
      <c r="AD159"/>
      <c r="AE159"/>
      <c r="AF159" s="197"/>
      <c r="AG159" s="197"/>
      <c r="AH159" s="197"/>
      <c r="AI159" s="197"/>
      <c r="AJ159" s="198"/>
    </row>
    <row r="160" spans="1:37">
      <c r="A160" s="7" t="s">
        <v>125</v>
      </c>
      <c r="B160" s="83" t="s">
        <v>7</v>
      </c>
      <c r="C160" s="7">
        <f t="shared" ref="C160:I161" si="59">O117</f>
        <v>9000</v>
      </c>
      <c r="D160" s="7">
        <f t="shared" si="59"/>
        <v>8900</v>
      </c>
      <c r="E160" s="7">
        <f t="shared" si="59"/>
        <v>8900</v>
      </c>
      <c r="F160" s="7">
        <f t="shared" si="59"/>
        <v>100</v>
      </c>
      <c r="G160" s="127">
        <f t="shared" si="59"/>
        <v>1.1235955056179775E-2</v>
      </c>
      <c r="H160" s="7">
        <f t="shared" si="59"/>
        <v>100</v>
      </c>
      <c r="I160" s="127">
        <f t="shared" si="59"/>
        <v>1.1235955056179775E-2</v>
      </c>
      <c r="V160"/>
      <c r="W160"/>
      <c r="X160"/>
      <c r="Y160"/>
      <c r="Z160"/>
      <c r="AA160"/>
      <c r="AB160"/>
      <c r="AC160"/>
      <c r="AD160"/>
      <c r="AE160"/>
      <c r="AF160"/>
      <c r="AG160"/>
      <c r="AH160"/>
      <c r="AI160"/>
    </row>
    <row r="161" spans="1:35">
      <c r="A161" s="7" t="s">
        <v>232</v>
      </c>
      <c r="B161" s="83">
        <v>40000000</v>
      </c>
      <c r="C161" s="7">
        <f t="shared" si="59"/>
        <v>13100</v>
      </c>
      <c r="D161" s="7">
        <f t="shared" si="59"/>
        <v>13500</v>
      </c>
      <c r="E161" s="7">
        <f t="shared" si="59"/>
        <v>13300</v>
      </c>
      <c r="F161" s="7">
        <f t="shared" si="59"/>
        <v>-400</v>
      </c>
      <c r="G161" s="127">
        <f t="shared" si="59"/>
        <v>-2.9629629629629631E-2</v>
      </c>
      <c r="H161" s="7">
        <f t="shared" si="59"/>
        <v>-200</v>
      </c>
      <c r="I161" s="127">
        <f t="shared" si="59"/>
        <v>-1.5037593984962405E-2</v>
      </c>
      <c r="V161"/>
      <c r="W161"/>
      <c r="X161"/>
      <c r="Y161"/>
      <c r="Z161"/>
      <c r="AA161"/>
      <c r="AB161"/>
      <c r="AC161"/>
      <c r="AD161"/>
      <c r="AE161"/>
      <c r="AF161"/>
      <c r="AG161"/>
      <c r="AH161"/>
      <c r="AI161"/>
    </row>
    <row r="162" spans="1:35">
      <c r="A162" s="7" t="s">
        <v>126</v>
      </c>
      <c r="B162" s="83" t="s">
        <v>12</v>
      </c>
      <c r="C162" s="109" t="s">
        <v>140</v>
      </c>
      <c r="D162" s="109" t="s">
        <v>140</v>
      </c>
      <c r="E162" s="109" t="s">
        <v>140</v>
      </c>
      <c r="F162" s="109" t="s">
        <v>140</v>
      </c>
      <c r="G162" s="137" t="s">
        <v>140</v>
      </c>
      <c r="H162" s="109" t="s">
        <v>140</v>
      </c>
      <c r="I162" s="137" t="s">
        <v>140</v>
      </c>
      <c r="V162"/>
      <c r="W162"/>
      <c r="X162"/>
      <c r="Y162"/>
      <c r="Z162"/>
      <c r="AA162"/>
      <c r="AB162"/>
      <c r="AC162"/>
      <c r="AD162"/>
      <c r="AE162"/>
      <c r="AF162"/>
      <c r="AG162"/>
      <c r="AH162"/>
      <c r="AI162"/>
    </row>
    <row r="163" spans="1:35">
      <c r="A163" s="7" t="s">
        <v>127</v>
      </c>
      <c r="B163" s="83" t="s">
        <v>8</v>
      </c>
      <c r="C163" s="7">
        <f t="shared" ref="C163:I163" si="60">O119</f>
        <v>8900</v>
      </c>
      <c r="D163" s="7">
        <f t="shared" si="60"/>
        <v>9200</v>
      </c>
      <c r="E163" s="7">
        <f t="shared" si="60"/>
        <v>9100</v>
      </c>
      <c r="F163" s="7">
        <f t="shared" si="60"/>
        <v>-300</v>
      </c>
      <c r="G163" s="127">
        <f t="shared" si="60"/>
        <v>-3.2608695652173912E-2</v>
      </c>
      <c r="H163" s="7">
        <f t="shared" si="60"/>
        <v>-200</v>
      </c>
      <c r="I163" s="127">
        <f t="shared" si="60"/>
        <v>-2.197802197802198E-2</v>
      </c>
      <c r="V163"/>
      <c r="W163"/>
      <c r="X163"/>
      <c r="Y163"/>
      <c r="Z163"/>
      <c r="AA163"/>
      <c r="AB163"/>
      <c r="AC163"/>
      <c r="AD163"/>
      <c r="AE163"/>
      <c r="AF163"/>
      <c r="AG163"/>
      <c r="AH163"/>
      <c r="AI163"/>
    </row>
    <row r="164" spans="1:35">
      <c r="A164" s="7" t="s">
        <v>134</v>
      </c>
      <c r="B164" s="83" t="s">
        <v>13</v>
      </c>
      <c r="C164" s="109" t="s">
        <v>140</v>
      </c>
      <c r="D164" s="109" t="s">
        <v>140</v>
      </c>
      <c r="E164" s="109" t="s">
        <v>140</v>
      </c>
      <c r="F164" s="109" t="s">
        <v>140</v>
      </c>
      <c r="G164" s="137" t="s">
        <v>140</v>
      </c>
      <c r="H164" s="109" t="s">
        <v>140</v>
      </c>
      <c r="I164" s="137" t="s">
        <v>140</v>
      </c>
      <c r="V164"/>
      <c r="W164"/>
      <c r="X164"/>
      <c r="Y164"/>
      <c r="Z164"/>
      <c r="AA164"/>
      <c r="AB164"/>
      <c r="AC164"/>
      <c r="AD164"/>
      <c r="AE164"/>
      <c r="AF164"/>
      <c r="AG164"/>
      <c r="AH164"/>
      <c r="AI164"/>
    </row>
    <row r="165" spans="1:35">
      <c r="A165" s="7" t="s">
        <v>30</v>
      </c>
      <c r="B165" s="83">
        <v>50000000</v>
      </c>
      <c r="C165" s="7">
        <f t="shared" ref="C165:I171" si="61">O120</f>
        <v>300</v>
      </c>
      <c r="D165" s="7">
        <f t="shared" si="61"/>
        <v>300</v>
      </c>
      <c r="E165" s="7">
        <f t="shared" si="61"/>
        <v>300</v>
      </c>
      <c r="F165" s="7">
        <f t="shared" si="61"/>
        <v>0</v>
      </c>
      <c r="G165" s="127">
        <f t="shared" si="61"/>
        <v>0</v>
      </c>
      <c r="H165" s="7">
        <f t="shared" si="61"/>
        <v>0</v>
      </c>
      <c r="I165" s="127">
        <f t="shared" si="61"/>
        <v>0</v>
      </c>
      <c r="V165"/>
      <c r="W165"/>
      <c r="X165"/>
      <c r="Y165"/>
      <c r="Z165"/>
      <c r="AA165"/>
      <c r="AB165"/>
      <c r="AC165"/>
      <c r="AD165"/>
      <c r="AE165"/>
      <c r="AF165"/>
      <c r="AG165"/>
      <c r="AH165"/>
      <c r="AI165"/>
    </row>
    <row r="166" spans="1:35">
      <c r="A166" s="7" t="s">
        <v>221</v>
      </c>
      <c r="B166" s="83">
        <v>55000000</v>
      </c>
      <c r="C166" s="7">
        <f t="shared" si="61"/>
        <v>1800</v>
      </c>
      <c r="D166" s="7">
        <f t="shared" si="61"/>
        <v>1900</v>
      </c>
      <c r="E166" s="7">
        <f t="shared" si="61"/>
        <v>1800</v>
      </c>
      <c r="F166" s="7">
        <f t="shared" si="61"/>
        <v>-100</v>
      </c>
      <c r="G166" s="127">
        <f t="shared" si="61"/>
        <v>-5.2631578947368418E-2</v>
      </c>
      <c r="H166" s="7">
        <f t="shared" si="61"/>
        <v>0</v>
      </c>
      <c r="I166" s="127">
        <f t="shared" si="61"/>
        <v>0</v>
      </c>
      <c r="V166"/>
      <c r="W166"/>
      <c r="X166"/>
      <c r="Y166"/>
      <c r="Z166"/>
      <c r="AA166"/>
      <c r="AB166"/>
      <c r="AC166"/>
      <c r="AD166"/>
      <c r="AE166"/>
      <c r="AF166"/>
      <c r="AG166"/>
      <c r="AH166"/>
      <c r="AI166"/>
    </row>
    <row r="167" spans="1:35">
      <c r="A167" s="7" t="s">
        <v>129</v>
      </c>
      <c r="B167" s="83">
        <v>60000000</v>
      </c>
      <c r="C167" s="7">
        <f t="shared" si="61"/>
        <v>6300</v>
      </c>
      <c r="D167" s="7">
        <f t="shared" si="61"/>
        <v>6300</v>
      </c>
      <c r="E167" s="7">
        <f t="shared" si="61"/>
        <v>6200</v>
      </c>
      <c r="F167" s="7">
        <f t="shared" si="61"/>
        <v>0</v>
      </c>
      <c r="G167" s="127">
        <f t="shared" si="61"/>
        <v>0</v>
      </c>
      <c r="H167" s="7">
        <f t="shared" si="61"/>
        <v>100</v>
      </c>
      <c r="I167" s="127">
        <f t="shared" si="61"/>
        <v>1.6129032258064516E-2</v>
      </c>
      <c r="V167"/>
      <c r="W167"/>
      <c r="X167"/>
      <c r="Y167"/>
      <c r="Z167"/>
      <c r="AA167"/>
      <c r="AB167"/>
      <c r="AC167"/>
      <c r="AD167"/>
      <c r="AE167"/>
      <c r="AF167"/>
      <c r="AG167"/>
      <c r="AH167"/>
      <c r="AI167"/>
    </row>
    <row r="168" spans="1:35">
      <c r="A168" s="7" t="s">
        <v>133</v>
      </c>
      <c r="B168" s="83">
        <v>65000000</v>
      </c>
      <c r="C168" s="7">
        <f t="shared" si="61"/>
        <v>11200</v>
      </c>
      <c r="D168" s="7">
        <f t="shared" si="61"/>
        <v>11200</v>
      </c>
      <c r="E168" s="7">
        <f t="shared" si="61"/>
        <v>10700</v>
      </c>
      <c r="F168" s="7">
        <f t="shared" si="61"/>
        <v>0</v>
      </c>
      <c r="G168" s="127">
        <f t="shared" si="61"/>
        <v>0</v>
      </c>
      <c r="H168" s="7">
        <f t="shared" si="61"/>
        <v>500</v>
      </c>
      <c r="I168" s="127">
        <f t="shared" si="61"/>
        <v>4.6728971962616821E-2</v>
      </c>
      <c r="V168"/>
      <c r="W168"/>
      <c r="X168"/>
      <c r="Y168"/>
      <c r="Z168"/>
      <c r="AA168"/>
      <c r="AB168"/>
      <c r="AC168"/>
      <c r="AD168"/>
      <c r="AE168"/>
      <c r="AF168"/>
      <c r="AG168"/>
      <c r="AH168"/>
      <c r="AI168"/>
    </row>
    <row r="169" spans="1:35">
      <c r="A169" s="7" t="s">
        <v>128</v>
      </c>
      <c r="B169" s="83" t="s">
        <v>9</v>
      </c>
      <c r="C169" s="7">
        <f t="shared" si="61"/>
        <v>8600</v>
      </c>
      <c r="D169" s="7">
        <f t="shared" si="61"/>
        <v>9600</v>
      </c>
      <c r="E169" s="7">
        <f t="shared" si="61"/>
        <v>8500</v>
      </c>
      <c r="F169" s="7">
        <f t="shared" si="61"/>
        <v>-1000</v>
      </c>
      <c r="G169" s="127">
        <f t="shared" si="61"/>
        <v>-0.10416666666666667</v>
      </c>
      <c r="H169" s="7">
        <f t="shared" si="61"/>
        <v>100</v>
      </c>
      <c r="I169" s="127">
        <f t="shared" si="61"/>
        <v>1.1764705882352941E-2</v>
      </c>
      <c r="V169"/>
      <c r="W169"/>
      <c r="X169"/>
      <c r="Y169"/>
      <c r="Z169"/>
      <c r="AA169"/>
      <c r="AB169"/>
      <c r="AC169"/>
      <c r="AD169"/>
      <c r="AE169"/>
      <c r="AF169"/>
      <c r="AG169"/>
      <c r="AH169"/>
      <c r="AI169"/>
    </row>
    <row r="170" spans="1:35">
      <c r="A170" s="7" t="s">
        <v>130</v>
      </c>
      <c r="B170" s="83" t="s">
        <v>10</v>
      </c>
      <c r="C170" s="7">
        <f t="shared" si="61"/>
        <v>2900</v>
      </c>
      <c r="D170" s="7">
        <f t="shared" si="61"/>
        <v>3000</v>
      </c>
      <c r="E170" s="7">
        <f t="shared" si="61"/>
        <v>2800</v>
      </c>
      <c r="F170" s="7">
        <f t="shared" si="61"/>
        <v>-100</v>
      </c>
      <c r="G170" s="127">
        <f t="shared" si="61"/>
        <v>-3.3333333333333333E-2</v>
      </c>
      <c r="H170" s="7">
        <f t="shared" si="61"/>
        <v>100</v>
      </c>
      <c r="I170" s="127">
        <f t="shared" si="61"/>
        <v>3.5714285714285712E-2</v>
      </c>
      <c r="V170"/>
      <c r="W170"/>
      <c r="X170"/>
      <c r="Y170"/>
      <c r="Z170"/>
      <c r="AA170"/>
      <c r="AB170"/>
      <c r="AC170"/>
      <c r="AD170"/>
      <c r="AE170"/>
      <c r="AF170"/>
      <c r="AG170"/>
      <c r="AH170"/>
      <c r="AI170"/>
    </row>
    <row r="171" spans="1:35">
      <c r="A171" s="7" t="s">
        <v>131</v>
      </c>
      <c r="B171" s="83" t="s">
        <v>11</v>
      </c>
      <c r="C171" s="7">
        <f t="shared" si="61"/>
        <v>9400</v>
      </c>
      <c r="D171" s="7">
        <f t="shared" si="61"/>
        <v>8600</v>
      </c>
      <c r="E171" s="7">
        <f t="shared" si="61"/>
        <v>9100</v>
      </c>
      <c r="F171" s="7">
        <f t="shared" si="61"/>
        <v>800</v>
      </c>
      <c r="G171" s="127">
        <f t="shared" si="61"/>
        <v>9.3023255813953487E-2</v>
      </c>
      <c r="H171" s="7">
        <f t="shared" si="61"/>
        <v>300</v>
      </c>
      <c r="I171" s="127">
        <f t="shared" si="61"/>
        <v>3.2967032967032968E-2</v>
      </c>
      <c r="V171"/>
      <c r="W171"/>
      <c r="X171"/>
      <c r="Y171"/>
      <c r="Z171"/>
      <c r="AA171"/>
      <c r="AB171"/>
      <c r="AC171"/>
      <c r="AD171"/>
      <c r="AE171"/>
      <c r="AF171"/>
      <c r="AG171"/>
      <c r="AH171"/>
      <c r="AI171"/>
    </row>
    <row r="172" spans="1:35">
      <c r="A172" s="130" t="s">
        <v>115</v>
      </c>
      <c r="V172"/>
      <c r="W172"/>
      <c r="X172"/>
      <c r="Y172"/>
      <c r="Z172"/>
      <c r="AA172"/>
      <c r="AB172"/>
      <c r="AC172"/>
      <c r="AD172"/>
      <c r="AE172"/>
      <c r="AF172"/>
      <c r="AG172"/>
      <c r="AH172"/>
      <c r="AI172"/>
    </row>
    <row r="173" spans="1:35">
      <c r="A173" s="7" t="s">
        <v>124</v>
      </c>
      <c r="B173" s="83" t="s">
        <v>6</v>
      </c>
      <c r="C173" s="7">
        <f t="shared" ref="C173:I178" si="62">O132</f>
        <v>158300</v>
      </c>
      <c r="D173" s="7">
        <f t="shared" si="62"/>
        <v>158400</v>
      </c>
      <c r="E173" s="7">
        <f t="shared" si="62"/>
        <v>156700</v>
      </c>
      <c r="F173" s="7">
        <f t="shared" si="62"/>
        <v>-100</v>
      </c>
      <c r="G173" s="127">
        <f t="shared" si="62"/>
        <v>-6.3131313131313137E-4</v>
      </c>
      <c r="H173" s="7">
        <f t="shared" si="62"/>
        <v>1600</v>
      </c>
      <c r="I173" s="127">
        <f t="shared" si="62"/>
        <v>1.021059349074665E-2</v>
      </c>
      <c r="V173"/>
      <c r="W173"/>
      <c r="X173"/>
      <c r="Y173"/>
      <c r="Z173"/>
      <c r="AA173"/>
      <c r="AB173"/>
      <c r="AC173"/>
      <c r="AD173"/>
      <c r="AE173"/>
      <c r="AF173"/>
      <c r="AG173"/>
      <c r="AH173"/>
      <c r="AI173"/>
    </row>
    <row r="174" spans="1:35">
      <c r="A174" s="7" t="s">
        <v>43</v>
      </c>
      <c r="B174" s="84" t="s">
        <v>220</v>
      </c>
      <c r="C174" s="7">
        <f t="shared" si="62"/>
        <v>132600</v>
      </c>
      <c r="D174" s="7">
        <f t="shared" si="62"/>
        <v>134400</v>
      </c>
      <c r="E174" s="7">
        <f t="shared" si="62"/>
        <v>131800</v>
      </c>
      <c r="F174" s="7">
        <f t="shared" si="62"/>
        <v>-1800</v>
      </c>
      <c r="G174" s="127">
        <f t="shared" si="62"/>
        <v>-1.3392857142857142E-2</v>
      </c>
      <c r="H174" s="7">
        <f t="shared" si="62"/>
        <v>800</v>
      </c>
      <c r="I174" s="127">
        <f t="shared" si="62"/>
        <v>6.0698027314112293E-3</v>
      </c>
      <c r="V174"/>
      <c r="W174"/>
      <c r="X174"/>
      <c r="Y174"/>
      <c r="Z174"/>
      <c r="AA174"/>
      <c r="AB174"/>
      <c r="AC174"/>
      <c r="AD174"/>
      <c r="AE174"/>
      <c r="AF174"/>
      <c r="AG174"/>
      <c r="AH174"/>
      <c r="AI174"/>
    </row>
    <row r="175" spans="1:35">
      <c r="A175" s="7" t="s">
        <v>20</v>
      </c>
      <c r="B175" s="84" t="s">
        <v>222</v>
      </c>
      <c r="C175" s="7">
        <f t="shared" si="62"/>
        <v>34500</v>
      </c>
      <c r="D175" s="7">
        <f t="shared" si="62"/>
        <v>34500</v>
      </c>
      <c r="E175" s="7">
        <f t="shared" si="62"/>
        <v>35100</v>
      </c>
      <c r="F175" s="7">
        <f t="shared" si="62"/>
        <v>0</v>
      </c>
      <c r="G175" s="127">
        <f t="shared" si="62"/>
        <v>0</v>
      </c>
      <c r="H175" s="7">
        <f t="shared" si="62"/>
        <v>-600</v>
      </c>
      <c r="I175" s="127">
        <f t="shared" si="62"/>
        <v>-1.7094017094017096E-2</v>
      </c>
      <c r="V175"/>
      <c r="W175"/>
      <c r="X175"/>
      <c r="Y175"/>
      <c r="Z175"/>
      <c r="AA175"/>
      <c r="AB175"/>
      <c r="AC175"/>
      <c r="AD175"/>
      <c r="AE175"/>
      <c r="AF175"/>
      <c r="AG175"/>
      <c r="AH175"/>
      <c r="AI175"/>
    </row>
    <row r="176" spans="1:35">
      <c r="A176" s="7" t="s">
        <v>25</v>
      </c>
      <c r="B176" s="84" t="s">
        <v>223</v>
      </c>
      <c r="C176" s="7">
        <f t="shared" si="62"/>
        <v>123800</v>
      </c>
      <c r="D176" s="7">
        <f t="shared" si="62"/>
        <v>123900</v>
      </c>
      <c r="E176" s="7">
        <f t="shared" si="62"/>
        <v>121600</v>
      </c>
      <c r="F176" s="7">
        <f t="shared" si="62"/>
        <v>-100</v>
      </c>
      <c r="G176" s="127">
        <f t="shared" si="62"/>
        <v>-8.0710250201775622E-4</v>
      </c>
      <c r="H176" s="7">
        <f t="shared" si="62"/>
        <v>2200</v>
      </c>
      <c r="I176" s="127">
        <f t="shared" si="62"/>
        <v>1.8092105263157895E-2</v>
      </c>
      <c r="V176"/>
      <c r="W176"/>
      <c r="X176"/>
      <c r="Y176"/>
      <c r="Z176"/>
      <c r="AA176"/>
      <c r="AB176"/>
      <c r="AC176"/>
      <c r="AD176"/>
      <c r="AE176"/>
      <c r="AF176"/>
      <c r="AG176"/>
      <c r="AH176"/>
      <c r="AI176"/>
    </row>
    <row r="177" spans="1:35">
      <c r="A177" s="7" t="s">
        <v>230</v>
      </c>
      <c r="B177" s="84" t="s">
        <v>229</v>
      </c>
      <c r="C177" s="7">
        <f t="shared" si="62"/>
        <v>98100</v>
      </c>
      <c r="D177" s="7">
        <f t="shared" si="62"/>
        <v>99900</v>
      </c>
      <c r="E177" s="7">
        <f t="shared" si="62"/>
        <v>96700</v>
      </c>
      <c r="F177" s="7">
        <f t="shared" si="62"/>
        <v>-1800</v>
      </c>
      <c r="G177" s="127">
        <f t="shared" si="62"/>
        <v>-1.8018018018018018E-2</v>
      </c>
      <c r="H177" s="7">
        <f t="shared" si="62"/>
        <v>1400</v>
      </c>
      <c r="I177" s="127">
        <f t="shared" si="62"/>
        <v>1.4477766287487074E-2</v>
      </c>
      <c r="V177"/>
      <c r="W177"/>
      <c r="X177"/>
      <c r="Y177"/>
      <c r="Z177"/>
      <c r="AA177"/>
      <c r="AB177"/>
      <c r="AC177"/>
      <c r="AD177"/>
      <c r="AE177"/>
      <c r="AF177"/>
      <c r="AG177"/>
      <c r="AH177"/>
      <c r="AI177"/>
    </row>
    <row r="178" spans="1:35">
      <c r="A178" s="7" t="s">
        <v>132</v>
      </c>
      <c r="B178" s="84">
        <v>15000000</v>
      </c>
      <c r="C178" s="7">
        <f t="shared" si="62"/>
        <v>9900</v>
      </c>
      <c r="D178" s="7">
        <f t="shared" si="62"/>
        <v>9900</v>
      </c>
      <c r="E178" s="7">
        <f t="shared" si="62"/>
        <v>10000</v>
      </c>
      <c r="F178" s="7">
        <f t="shared" si="62"/>
        <v>0</v>
      </c>
      <c r="G178" s="127">
        <f t="shared" si="62"/>
        <v>0</v>
      </c>
      <c r="H178" s="7">
        <f t="shared" si="62"/>
        <v>-100</v>
      </c>
      <c r="I178" s="127">
        <f t="shared" si="62"/>
        <v>-0.01</v>
      </c>
      <c r="V178"/>
      <c r="W178"/>
      <c r="X178"/>
      <c r="Y178"/>
      <c r="Z178"/>
      <c r="AA178"/>
      <c r="AB178"/>
      <c r="AC178"/>
      <c r="AD178"/>
      <c r="AE178"/>
      <c r="AF178"/>
      <c r="AG178"/>
      <c r="AH178"/>
      <c r="AI178"/>
    </row>
    <row r="179" spans="1:35">
      <c r="A179" s="7" t="s">
        <v>219</v>
      </c>
      <c r="B179" s="84" t="s">
        <v>231</v>
      </c>
      <c r="C179" s="109" t="s">
        <v>140</v>
      </c>
      <c r="D179" s="109" t="s">
        <v>140</v>
      </c>
      <c r="E179" s="109" t="s">
        <v>140</v>
      </c>
      <c r="F179" s="109" t="s">
        <v>140</v>
      </c>
      <c r="G179" s="138" t="s">
        <v>140</v>
      </c>
      <c r="H179" s="109" t="s">
        <v>140</v>
      </c>
      <c r="I179" s="138" t="s">
        <v>140</v>
      </c>
      <c r="V179"/>
      <c r="W179"/>
      <c r="X179"/>
      <c r="Y179"/>
      <c r="Z179"/>
      <c r="AA179"/>
      <c r="AB179"/>
      <c r="AC179"/>
      <c r="AD179"/>
      <c r="AE179"/>
      <c r="AF179"/>
      <c r="AG179"/>
      <c r="AH179"/>
      <c r="AI179"/>
    </row>
    <row r="180" spans="1:35">
      <c r="A180" s="7" t="s">
        <v>23</v>
      </c>
      <c r="B180" s="83">
        <v>20000000</v>
      </c>
      <c r="C180" s="109" t="s">
        <v>140</v>
      </c>
      <c r="D180" s="109" t="s">
        <v>140</v>
      </c>
      <c r="E180" s="109" t="s">
        <v>140</v>
      </c>
      <c r="F180" s="109" t="s">
        <v>140</v>
      </c>
      <c r="G180" s="138" t="s">
        <v>140</v>
      </c>
      <c r="H180" s="109" t="s">
        <v>140</v>
      </c>
      <c r="I180" s="138" t="s">
        <v>140</v>
      </c>
      <c r="V180"/>
      <c r="W180"/>
      <c r="X180"/>
      <c r="Y180"/>
      <c r="Z180"/>
      <c r="AA180"/>
      <c r="AB180"/>
      <c r="AC180"/>
      <c r="AD180"/>
      <c r="AE180"/>
      <c r="AF180"/>
      <c r="AG180"/>
      <c r="AH180"/>
      <c r="AI180"/>
    </row>
    <row r="181" spans="1:35">
      <c r="A181" s="7" t="s">
        <v>125</v>
      </c>
      <c r="B181" s="83" t="s">
        <v>7</v>
      </c>
      <c r="C181" s="7">
        <f t="shared" ref="C181:I181" si="63">O138</f>
        <v>24600</v>
      </c>
      <c r="D181" s="7">
        <f t="shared" si="63"/>
        <v>24600</v>
      </c>
      <c r="E181" s="7">
        <f t="shared" si="63"/>
        <v>25100</v>
      </c>
      <c r="F181" s="7">
        <f t="shared" si="63"/>
        <v>0</v>
      </c>
      <c r="G181" s="127">
        <f t="shared" si="63"/>
        <v>0</v>
      </c>
      <c r="H181" s="7">
        <f t="shared" si="63"/>
        <v>-500</v>
      </c>
      <c r="I181" s="127">
        <f t="shared" si="63"/>
        <v>-1.9920318725099601E-2</v>
      </c>
      <c r="L181"/>
      <c r="M181"/>
      <c r="N181"/>
      <c r="O181"/>
      <c r="P181"/>
      <c r="V181"/>
      <c r="AF181"/>
      <c r="AG181"/>
      <c r="AH181"/>
      <c r="AI181"/>
    </row>
    <row r="182" spans="1:35">
      <c r="A182" s="7" t="s">
        <v>232</v>
      </c>
      <c r="B182" s="83">
        <v>40000000</v>
      </c>
      <c r="C182" s="7">
        <f t="shared" ref="C182:C192" si="64">O141</f>
        <v>24400</v>
      </c>
      <c r="D182" s="7">
        <f t="shared" ref="D182:D192" si="65">P141</f>
        <v>24500</v>
      </c>
      <c r="E182" s="7">
        <f t="shared" ref="E182:E192" si="66">Q141</f>
        <v>24100</v>
      </c>
      <c r="F182" s="7">
        <f t="shared" ref="F182:F192" si="67">R141</f>
        <v>-100</v>
      </c>
      <c r="G182" s="127">
        <f t="shared" ref="G182:G192" si="68">S141</f>
        <v>-4.0816326530612249E-3</v>
      </c>
      <c r="H182" s="7">
        <f t="shared" ref="H182:H192" si="69">T141</f>
        <v>300</v>
      </c>
      <c r="I182" s="127">
        <f t="shared" ref="I182:I192" si="70">U141</f>
        <v>1.2448132780082987E-2</v>
      </c>
      <c r="V182"/>
      <c r="W182"/>
      <c r="X182"/>
      <c r="Y182"/>
      <c r="Z182"/>
      <c r="AA182"/>
      <c r="AB182"/>
      <c r="AC182"/>
      <c r="AD182"/>
      <c r="AE182"/>
      <c r="AF182"/>
      <c r="AG182"/>
      <c r="AH182"/>
      <c r="AI182"/>
    </row>
    <row r="183" spans="1:35">
      <c r="A183" s="7" t="s">
        <v>126</v>
      </c>
      <c r="B183" s="83" t="s">
        <v>12</v>
      </c>
      <c r="C183" s="7">
        <f t="shared" si="64"/>
        <v>6000</v>
      </c>
      <c r="D183" s="7">
        <f t="shared" si="65"/>
        <v>6000</v>
      </c>
      <c r="E183" s="7">
        <f t="shared" si="66"/>
        <v>5900</v>
      </c>
      <c r="F183" s="7">
        <f t="shared" si="67"/>
        <v>0</v>
      </c>
      <c r="G183" s="127">
        <f t="shared" si="68"/>
        <v>0</v>
      </c>
      <c r="H183" s="7">
        <f t="shared" si="69"/>
        <v>100</v>
      </c>
      <c r="I183" s="127">
        <f t="shared" si="70"/>
        <v>1.6949152542372881E-2</v>
      </c>
      <c r="W183"/>
      <c r="X183"/>
      <c r="Y183"/>
      <c r="Z183"/>
      <c r="AA183"/>
      <c r="AB183"/>
      <c r="AC183"/>
      <c r="AD183"/>
      <c r="AE183"/>
    </row>
    <row r="184" spans="1:35">
      <c r="A184" s="7" t="s">
        <v>127</v>
      </c>
      <c r="B184" s="83" t="s">
        <v>8</v>
      </c>
      <c r="C184" s="7">
        <f t="shared" si="64"/>
        <v>12700</v>
      </c>
      <c r="D184" s="7">
        <f t="shared" si="65"/>
        <v>13100</v>
      </c>
      <c r="E184" s="7">
        <f t="shared" si="66"/>
        <v>12500</v>
      </c>
      <c r="F184" s="7">
        <f t="shared" si="67"/>
        <v>-400</v>
      </c>
      <c r="G184" s="127">
        <f t="shared" si="68"/>
        <v>-3.0534351145038167E-2</v>
      </c>
      <c r="H184" s="7">
        <f t="shared" si="69"/>
        <v>200</v>
      </c>
      <c r="I184" s="127">
        <f t="shared" si="70"/>
        <v>1.6E-2</v>
      </c>
      <c r="U184"/>
      <c r="V184"/>
      <c r="AF184"/>
      <c r="AG184"/>
      <c r="AH184"/>
    </row>
    <row r="185" spans="1:35">
      <c r="A185" s="7" t="s">
        <v>134</v>
      </c>
      <c r="B185" s="83" t="s">
        <v>13</v>
      </c>
      <c r="C185" s="7">
        <f t="shared" si="64"/>
        <v>5700</v>
      </c>
      <c r="D185" s="7">
        <f t="shared" si="65"/>
        <v>5400</v>
      </c>
      <c r="E185" s="7">
        <f t="shared" si="66"/>
        <v>5700</v>
      </c>
      <c r="F185" s="7">
        <f t="shared" si="67"/>
        <v>300</v>
      </c>
      <c r="G185" s="127">
        <f t="shared" si="68"/>
        <v>5.5555555555555552E-2</v>
      </c>
      <c r="H185" s="7">
        <f t="shared" si="69"/>
        <v>0</v>
      </c>
      <c r="I185" s="127">
        <f t="shared" si="70"/>
        <v>0</v>
      </c>
      <c r="U185"/>
      <c r="V185"/>
      <c r="AF185"/>
      <c r="AG185"/>
      <c r="AH185"/>
    </row>
    <row r="186" spans="1:35">
      <c r="A186" s="7" t="s">
        <v>30</v>
      </c>
      <c r="B186" s="83">
        <v>50000000</v>
      </c>
      <c r="C186" s="7">
        <f t="shared" si="64"/>
        <v>2800</v>
      </c>
      <c r="D186" s="7">
        <f t="shared" si="65"/>
        <v>2800</v>
      </c>
      <c r="E186" s="7">
        <f t="shared" si="66"/>
        <v>3000</v>
      </c>
      <c r="F186" s="7">
        <f t="shared" si="67"/>
        <v>0</v>
      </c>
      <c r="G186" s="127">
        <f t="shared" si="68"/>
        <v>0</v>
      </c>
      <c r="H186" s="7">
        <f t="shared" si="69"/>
        <v>-200</v>
      </c>
      <c r="I186" s="127">
        <f t="shared" si="70"/>
        <v>-6.6666666666666666E-2</v>
      </c>
    </row>
    <row r="187" spans="1:35">
      <c r="A187" s="7" t="s">
        <v>221</v>
      </c>
      <c r="B187" s="83">
        <v>55000000</v>
      </c>
      <c r="C187" s="7">
        <f t="shared" si="64"/>
        <v>4100</v>
      </c>
      <c r="D187" s="7">
        <f t="shared" si="65"/>
        <v>4200</v>
      </c>
      <c r="E187" s="7">
        <f t="shared" si="66"/>
        <v>4100</v>
      </c>
      <c r="F187" s="7">
        <f t="shared" si="67"/>
        <v>-100</v>
      </c>
      <c r="G187" s="127">
        <f t="shared" si="68"/>
        <v>-2.3809523809523808E-2</v>
      </c>
      <c r="H187" s="7">
        <f t="shared" si="69"/>
        <v>0</v>
      </c>
      <c r="I187" s="127">
        <f t="shared" si="70"/>
        <v>0</v>
      </c>
    </row>
    <row r="188" spans="1:35">
      <c r="A188" s="7" t="s">
        <v>129</v>
      </c>
      <c r="B188" s="83">
        <v>60000000</v>
      </c>
      <c r="C188" s="7">
        <f t="shared" si="64"/>
        <v>23800</v>
      </c>
      <c r="D188" s="7">
        <f t="shared" si="65"/>
        <v>24200</v>
      </c>
      <c r="E188" s="7">
        <f t="shared" si="66"/>
        <v>24000</v>
      </c>
      <c r="F188" s="7">
        <f t="shared" si="67"/>
        <v>-400</v>
      </c>
      <c r="G188" s="127">
        <f t="shared" si="68"/>
        <v>-1.6528925619834711E-2</v>
      </c>
      <c r="H188" s="7">
        <f t="shared" si="69"/>
        <v>-200</v>
      </c>
      <c r="I188" s="127">
        <f t="shared" si="70"/>
        <v>-8.3333333333333332E-3</v>
      </c>
    </row>
    <row r="189" spans="1:35">
      <c r="A189" s="7" t="s">
        <v>133</v>
      </c>
      <c r="B189" s="83">
        <v>65000000</v>
      </c>
      <c r="C189" s="7">
        <f t="shared" si="64"/>
        <v>25800</v>
      </c>
      <c r="D189" s="7">
        <f t="shared" si="65"/>
        <v>25800</v>
      </c>
      <c r="E189" s="7">
        <f t="shared" si="66"/>
        <v>24300</v>
      </c>
      <c r="F189" s="7">
        <f t="shared" si="67"/>
        <v>0</v>
      </c>
      <c r="G189" s="127">
        <f t="shared" si="68"/>
        <v>0</v>
      </c>
      <c r="H189" s="7">
        <f t="shared" si="69"/>
        <v>1500</v>
      </c>
      <c r="I189" s="127">
        <f t="shared" si="70"/>
        <v>6.1728395061728392E-2</v>
      </c>
      <c r="U189"/>
    </row>
    <row r="190" spans="1:35">
      <c r="A190" s="7" t="s">
        <v>128</v>
      </c>
      <c r="B190" s="83" t="s">
        <v>9</v>
      </c>
      <c r="C190" s="7">
        <f t="shared" si="64"/>
        <v>12600</v>
      </c>
      <c r="D190" s="7">
        <f t="shared" si="65"/>
        <v>13600</v>
      </c>
      <c r="E190" s="7">
        <f t="shared" si="66"/>
        <v>12600</v>
      </c>
      <c r="F190" s="7">
        <f t="shared" si="67"/>
        <v>-1000</v>
      </c>
      <c r="G190" s="127">
        <f t="shared" si="68"/>
        <v>-7.3529411764705885E-2</v>
      </c>
      <c r="H190" s="7">
        <f t="shared" si="69"/>
        <v>0</v>
      </c>
      <c r="I190" s="127">
        <f t="shared" si="70"/>
        <v>0</v>
      </c>
      <c r="U190"/>
    </row>
    <row r="191" spans="1:35">
      <c r="A191" s="7" t="s">
        <v>130</v>
      </c>
      <c r="B191" s="83" t="s">
        <v>10</v>
      </c>
      <c r="C191" s="7">
        <f t="shared" si="64"/>
        <v>4600</v>
      </c>
      <c r="D191" s="7">
        <f t="shared" si="65"/>
        <v>4800</v>
      </c>
      <c r="E191" s="7">
        <f t="shared" si="66"/>
        <v>4600</v>
      </c>
      <c r="F191" s="7">
        <f t="shared" si="67"/>
        <v>-200</v>
      </c>
      <c r="G191" s="127">
        <f t="shared" si="68"/>
        <v>-4.1666666666666664E-2</v>
      </c>
      <c r="H191" s="7">
        <f t="shared" si="69"/>
        <v>0</v>
      </c>
      <c r="I191" s="127">
        <f t="shared" si="70"/>
        <v>0</v>
      </c>
      <c r="U191"/>
    </row>
    <row r="192" spans="1:35">
      <c r="A192" s="7" t="s">
        <v>131</v>
      </c>
      <c r="B192" s="83" t="s">
        <v>11</v>
      </c>
      <c r="C192" s="7">
        <f t="shared" si="64"/>
        <v>25700</v>
      </c>
      <c r="D192" s="7">
        <f t="shared" si="65"/>
        <v>24000</v>
      </c>
      <c r="E192" s="7">
        <f t="shared" si="66"/>
        <v>24900</v>
      </c>
      <c r="F192" s="7">
        <f t="shared" si="67"/>
        <v>1700</v>
      </c>
      <c r="G192" s="127">
        <f t="shared" si="68"/>
        <v>7.0833333333333331E-2</v>
      </c>
      <c r="H192" s="7">
        <f t="shared" si="69"/>
        <v>800</v>
      </c>
      <c r="I192" s="127">
        <f t="shared" si="70"/>
        <v>3.2128514056224897E-2</v>
      </c>
      <c r="U192"/>
    </row>
    <row r="193" spans="21:21">
      <c r="U193"/>
    </row>
    <row r="194" spans="21:21">
      <c r="U194"/>
    </row>
    <row r="195" spans="21:21">
      <c r="U195"/>
    </row>
    <row r="196" spans="21:21">
      <c r="U196"/>
    </row>
    <row r="197" spans="21:21">
      <c r="U197"/>
    </row>
    <row r="198" spans="21:21">
      <c r="U198"/>
    </row>
    <row r="199" spans="21:21">
      <c r="U199"/>
    </row>
    <row r="200" spans="21:21">
      <c r="U200"/>
    </row>
    <row r="201" spans="21:21">
      <c r="U201"/>
    </row>
    <row r="202" spans="21:21">
      <c r="U202"/>
    </row>
    <row r="203" spans="21:21">
      <c r="U203"/>
    </row>
    <row r="204" spans="21:21">
      <c r="U204"/>
    </row>
    <row r="205" spans="21:21">
      <c r="U205"/>
    </row>
    <row r="206" spans="21:21">
      <c r="U206"/>
    </row>
    <row r="207" spans="21:21">
      <c r="U207"/>
    </row>
    <row r="208" spans="21:21">
      <c r="U208"/>
    </row>
    <row r="209" spans="12:21">
      <c r="U209"/>
    </row>
    <row r="210" spans="12:21">
      <c r="U210"/>
    </row>
    <row r="211" spans="12:21">
      <c r="U211"/>
    </row>
    <row r="212" spans="12:21">
      <c r="U212"/>
    </row>
    <row r="213" spans="12:21">
      <c r="U213"/>
    </row>
    <row r="214" spans="12:21">
      <c r="L214"/>
      <c r="M214"/>
      <c r="N214" s="3"/>
      <c r="O214"/>
      <c r="P214"/>
      <c r="Q214"/>
      <c r="R214"/>
      <c r="S214"/>
      <c r="T214"/>
      <c r="U214"/>
    </row>
    <row r="215" spans="12:21">
      <c r="L215"/>
      <c r="M215"/>
      <c r="N215" s="3"/>
      <c r="O215"/>
      <c r="P215"/>
      <c r="Q215"/>
      <c r="R215"/>
      <c r="S215"/>
      <c r="T215"/>
      <c r="U215"/>
    </row>
    <row r="216" spans="12:21">
      <c r="L216"/>
      <c r="M216"/>
      <c r="N216" s="3"/>
      <c r="O216"/>
      <c r="P216"/>
      <c r="Q216"/>
      <c r="R216"/>
      <c r="S216"/>
      <c r="T216"/>
      <c r="U216"/>
    </row>
    <row r="217" spans="12:21">
      <c r="L217"/>
      <c r="M217"/>
      <c r="N217" s="3"/>
      <c r="O217"/>
      <c r="P217"/>
      <c r="Q217"/>
      <c r="R217"/>
      <c r="S217"/>
      <c r="T217"/>
      <c r="U217"/>
    </row>
    <row r="218" spans="12:21">
      <c r="L218"/>
      <c r="M218"/>
      <c r="N218" s="3"/>
      <c r="O218"/>
      <c r="P218"/>
      <c r="Q218"/>
      <c r="R218"/>
      <c r="S218"/>
      <c r="T218"/>
      <c r="U218"/>
    </row>
    <row r="219" spans="12:21">
      <c r="L219"/>
      <c r="M219"/>
      <c r="N219" s="3"/>
      <c r="O219"/>
      <c r="P219"/>
      <c r="Q219"/>
      <c r="R219"/>
      <c r="S219"/>
      <c r="T219"/>
      <c r="U219"/>
    </row>
    <row r="220" spans="12:21">
      <c r="L220"/>
      <c r="M220"/>
      <c r="N220" s="3"/>
      <c r="O220"/>
      <c r="P220"/>
      <c r="Q220"/>
      <c r="R220"/>
      <c r="S220"/>
      <c r="T220"/>
      <c r="U220"/>
    </row>
    <row r="221" spans="12:21">
      <c r="L221"/>
      <c r="M221"/>
      <c r="N221" s="3"/>
      <c r="O221"/>
      <c r="P221"/>
      <c r="Q221"/>
      <c r="R221"/>
      <c r="S221"/>
      <c r="T221"/>
      <c r="U221"/>
    </row>
    <row r="222" spans="12:21">
      <c r="L222"/>
      <c r="M222"/>
      <c r="N222" s="3"/>
      <c r="O222"/>
      <c r="P222"/>
      <c r="Q222"/>
      <c r="R222"/>
      <c r="S222"/>
      <c r="T222"/>
      <c r="U222"/>
    </row>
    <row r="223" spans="12:21">
      <c r="L223"/>
      <c r="M223"/>
      <c r="N223" s="3"/>
      <c r="O223"/>
      <c r="P223"/>
      <c r="Q223"/>
      <c r="R223"/>
      <c r="S223"/>
      <c r="T223"/>
      <c r="U223"/>
    </row>
    <row r="224" spans="12:21">
      <c r="L224"/>
      <c r="M224"/>
      <c r="N224" s="3"/>
      <c r="O224"/>
      <c r="P224"/>
      <c r="Q224"/>
      <c r="R224"/>
      <c r="S224"/>
      <c r="T224"/>
      <c r="U224"/>
    </row>
    <row r="225" spans="12:21">
      <c r="L225"/>
      <c r="M225"/>
      <c r="N225" s="3"/>
      <c r="O225"/>
      <c r="P225"/>
      <c r="Q225"/>
      <c r="R225"/>
      <c r="S225"/>
      <c r="T225"/>
      <c r="U225"/>
    </row>
    <row r="226" spans="12:21">
      <c r="L226"/>
      <c r="M226"/>
      <c r="N226" s="3"/>
      <c r="O226"/>
      <c r="P226"/>
      <c r="Q226"/>
      <c r="R226"/>
      <c r="S226"/>
      <c r="T226"/>
      <c r="U226"/>
    </row>
    <row r="227" spans="12:21">
      <c r="L227"/>
      <c r="M227"/>
      <c r="N227" s="3"/>
      <c r="O227"/>
      <c r="P227"/>
      <c r="Q227"/>
      <c r="R227"/>
      <c r="S227"/>
      <c r="T227"/>
      <c r="U227"/>
    </row>
    <row r="228" spans="12:21">
      <c r="M228"/>
      <c r="N228"/>
      <c r="O228"/>
      <c r="P228"/>
      <c r="Q228"/>
      <c r="R228"/>
      <c r="S228"/>
      <c r="T228"/>
      <c r="U228"/>
    </row>
    <row r="229" spans="12:21">
      <c r="M229"/>
      <c r="N229"/>
      <c r="O229"/>
      <c r="P229"/>
      <c r="Q229"/>
      <c r="R229"/>
      <c r="S229"/>
      <c r="T229"/>
      <c r="U229"/>
    </row>
    <row r="230" spans="12:21">
      <c r="P230"/>
      <c r="Q230"/>
      <c r="R230"/>
      <c r="S230"/>
      <c r="T230"/>
      <c r="U230"/>
    </row>
    <row r="231" spans="12:21">
      <c r="P231"/>
      <c r="Q231"/>
      <c r="R231"/>
      <c r="S231"/>
      <c r="T231"/>
      <c r="U231"/>
    </row>
    <row r="232" spans="12:21">
      <c r="P232"/>
      <c r="Q232"/>
      <c r="R232"/>
      <c r="S232"/>
      <c r="T232"/>
      <c r="U232"/>
    </row>
    <row r="233" spans="12:21">
      <c r="P233"/>
      <c r="Q233"/>
      <c r="R233"/>
      <c r="S233"/>
      <c r="T233"/>
      <c r="U233"/>
    </row>
    <row r="234" spans="12:21">
      <c r="P234"/>
      <c r="Q234"/>
      <c r="R234"/>
      <c r="S234"/>
      <c r="T234"/>
      <c r="U234"/>
    </row>
    <row r="235" spans="12:21">
      <c r="P235"/>
      <c r="Q235"/>
      <c r="R235"/>
      <c r="S235"/>
      <c r="T235"/>
      <c r="U235"/>
    </row>
    <row r="236" spans="12:21">
      <c r="P236"/>
      <c r="Q236"/>
      <c r="R236"/>
      <c r="S236"/>
      <c r="T236"/>
      <c r="U236"/>
    </row>
    <row r="237" spans="12:21">
      <c r="P237"/>
      <c r="Q237"/>
      <c r="R237"/>
      <c r="S237"/>
      <c r="T237"/>
      <c r="U237"/>
    </row>
    <row r="238" spans="12:21">
      <c r="P238"/>
      <c r="Q238"/>
      <c r="R238"/>
      <c r="S238"/>
      <c r="T238"/>
      <c r="U238"/>
    </row>
    <row r="239" spans="12:21">
      <c r="P239"/>
      <c r="Q239"/>
      <c r="R239"/>
      <c r="S239"/>
      <c r="T239"/>
      <c r="U239"/>
    </row>
    <row r="240" spans="12:21">
      <c r="P240"/>
      <c r="Q240"/>
      <c r="R240"/>
      <c r="S240"/>
      <c r="T240"/>
      <c r="U240"/>
    </row>
    <row r="241" spans="16:21">
      <c r="P241"/>
      <c r="Q241"/>
      <c r="R241"/>
      <c r="S241"/>
      <c r="T241"/>
      <c r="U241"/>
    </row>
    <row r="242" spans="16:21">
      <c r="P242"/>
      <c r="Q242"/>
      <c r="R242"/>
      <c r="S242"/>
      <c r="T242"/>
      <c r="U242"/>
    </row>
    <row r="243" spans="16:21">
      <c r="P243"/>
      <c r="Q243"/>
      <c r="R243"/>
      <c r="S243"/>
      <c r="T243"/>
      <c r="U243"/>
    </row>
    <row r="244" spans="16:21">
      <c r="P244"/>
      <c r="Q244"/>
      <c r="R244"/>
      <c r="S244"/>
      <c r="T244"/>
      <c r="U244"/>
    </row>
    <row r="245" spans="16:21">
      <c r="P245"/>
      <c r="Q245"/>
      <c r="R245"/>
      <c r="S245"/>
      <c r="T245"/>
      <c r="U245"/>
    </row>
    <row r="246" spans="16:21">
      <c r="P246"/>
      <c r="Q246"/>
      <c r="R246"/>
      <c r="S246"/>
      <c r="T246"/>
      <c r="U246"/>
    </row>
    <row r="247" spans="16:21">
      <c r="P247"/>
      <c r="Q247"/>
      <c r="R247"/>
      <c r="S247"/>
      <c r="T247"/>
      <c r="U247"/>
    </row>
    <row r="248" spans="16:21">
      <c r="P248"/>
      <c r="Q248"/>
      <c r="R248"/>
      <c r="S248"/>
      <c r="T248"/>
      <c r="U248"/>
    </row>
    <row r="249" spans="16:21">
      <c r="P249"/>
      <c r="Q249"/>
      <c r="R249"/>
      <c r="S249"/>
      <c r="T249"/>
      <c r="U249"/>
    </row>
    <row r="250" spans="16:21">
      <c r="P250"/>
      <c r="Q250"/>
      <c r="R250"/>
      <c r="S250"/>
      <c r="T250"/>
      <c r="U250"/>
    </row>
    <row r="251" spans="16:21">
      <c r="P251"/>
      <c r="Q251"/>
      <c r="R251"/>
      <c r="S251"/>
      <c r="T251"/>
      <c r="U251"/>
    </row>
    <row r="252" spans="16:21">
      <c r="P252"/>
      <c r="Q252"/>
      <c r="R252"/>
      <c r="S252"/>
      <c r="T252"/>
      <c r="U252"/>
    </row>
    <row r="253" spans="16:21">
      <c r="P253"/>
      <c r="Q253"/>
      <c r="R253"/>
      <c r="S253"/>
      <c r="T253"/>
      <c r="U253"/>
    </row>
    <row r="254" spans="16:21">
      <c r="P254"/>
      <c r="Q254"/>
      <c r="R254"/>
      <c r="S254"/>
      <c r="T254"/>
      <c r="U254"/>
    </row>
    <row r="255" spans="16:21">
      <c r="P255"/>
      <c r="Q255"/>
      <c r="R255"/>
      <c r="S255"/>
      <c r="T255"/>
      <c r="U255"/>
    </row>
    <row r="256" spans="16:21">
      <c r="P256"/>
      <c r="Q256"/>
      <c r="R256"/>
      <c r="S256"/>
      <c r="T256"/>
      <c r="U256"/>
    </row>
    <row r="257" spans="16:21">
      <c r="P257"/>
      <c r="Q257"/>
      <c r="R257"/>
      <c r="S257"/>
      <c r="T257"/>
      <c r="U257"/>
    </row>
    <row r="258" spans="16:21">
      <c r="P258"/>
      <c r="Q258"/>
      <c r="R258"/>
      <c r="S258"/>
      <c r="T258"/>
      <c r="U258"/>
    </row>
    <row r="259" spans="16:21">
      <c r="P259"/>
      <c r="Q259"/>
      <c r="R259"/>
      <c r="S259"/>
      <c r="T259"/>
      <c r="U259"/>
    </row>
    <row r="260" spans="16:21">
      <c r="P260"/>
      <c r="Q260"/>
      <c r="R260"/>
      <c r="S260"/>
      <c r="T260"/>
      <c r="U260"/>
    </row>
    <row r="261" spans="16:21">
      <c r="P261"/>
      <c r="Q261"/>
      <c r="R261"/>
      <c r="S261"/>
      <c r="T261"/>
      <c r="U261"/>
    </row>
    <row r="262" spans="16:21">
      <c r="P262"/>
      <c r="Q262"/>
      <c r="R262"/>
      <c r="S262"/>
      <c r="T262"/>
      <c r="U262"/>
    </row>
    <row r="263" spans="16:21">
      <c r="P263"/>
      <c r="Q263"/>
      <c r="R263"/>
      <c r="S263"/>
      <c r="T263"/>
      <c r="U263"/>
    </row>
    <row r="264" spans="16:21">
      <c r="P264"/>
      <c r="Q264"/>
      <c r="R264"/>
      <c r="S264"/>
      <c r="T264"/>
      <c r="U264"/>
    </row>
    <row r="265" spans="16:21">
      <c r="P265"/>
      <c r="Q265"/>
      <c r="R265"/>
      <c r="S265"/>
      <c r="T265"/>
      <c r="U265"/>
    </row>
    <row r="266" spans="16:21">
      <c r="P266"/>
      <c r="Q266"/>
      <c r="R266"/>
      <c r="S266"/>
      <c r="T266"/>
      <c r="U266"/>
    </row>
    <row r="267" spans="16:21">
      <c r="P267"/>
      <c r="Q267"/>
      <c r="R267"/>
      <c r="S267"/>
      <c r="T267"/>
      <c r="U267"/>
    </row>
    <row r="268" spans="16:21">
      <c r="P268"/>
      <c r="Q268"/>
      <c r="R268"/>
      <c r="S268"/>
      <c r="T268"/>
      <c r="U268"/>
    </row>
    <row r="269" spans="16:21">
      <c r="P269"/>
      <c r="Q269"/>
      <c r="R269"/>
      <c r="S269"/>
      <c r="T269"/>
      <c r="U269"/>
    </row>
    <row r="270" spans="16:21">
      <c r="P270"/>
      <c r="Q270"/>
      <c r="R270"/>
      <c r="S270"/>
      <c r="T270"/>
      <c r="U270"/>
    </row>
    <row r="271" spans="16:21">
      <c r="P271"/>
      <c r="Q271"/>
      <c r="R271"/>
      <c r="S271"/>
      <c r="T271"/>
      <c r="U271"/>
    </row>
    <row r="272" spans="16:21">
      <c r="P272"/>
      <c r="Q272"/>
      <c r="R272"/>
      <c r="S272"/>
      <c r="T272"/>
      <c r="U272"/>
    </row>
    <row r="273" spans="16:21">
      <c r="P273"/>
      <c r="Q273"/>
      <c r="R273"/>
      <c r="S273"/>
      <c r="T273"/>
      <c r="U273"/>
    </row>
    <row r="274" spans="16:21">
      <c r="P274"/>
      <c r="Q274"/>
      <c r="R274"/>
      <c r="S274"/>
      <c r="T274"/>
      <c r="U274"/>
    </row>
    <row r="275" spans="16:21">
      <c r="P275"/>
      <c r="Q275"/>
      <c r="R275"/>
      <c r="S275"/>
      <c r="T275"/>
      <c r="U275"/>
    </row>
    <row r="276" spans="16:21">
      <c r="P276"/>
      <c r="Q276"/>
      <c r="R276"/>
      <c r="S276"/>
      <c r="T276"/>
      <c r="U276"/>
    </row>
    <row r="277" spans="16:21">
      <c r="P277"/>
      <c r="Q277"/>
      <c r="R277"/>
      <c r="S277"/>
      <c r="T277"/>
      <c r="U277"/>
    </row>
    <row r="278" spans="16:21">
      <c r="P278"/>
      <c r="Q278"/>
      <c r="R278"/>
      <c r="S278"/>
      <c r="T278"/>
      <c r="U278"/>
    </row>
    <row r="279" spans="16:21">
      <c r="P279"/>
      <c r="Q279"/>
      <c r="R279"/>
      <c r="S279"/>
      <c r="T279"/>
      <c r="U279"/>
    </row>
    <row r="280" spans="16:21">
      <c r="P280"/>
      <c r="Q280"/>
      <c r="R280"/>
      <c r="S280"/>
      <c r="T280"/>
      <c r="U280"/>
    </row>
    <row r="281" spans="16:21">
      <c r="P281"/>
      <c r="Q281"/>
      <c r="R281"/>
      <c r="S281"/>
      <c r="T281"/>
      <c r="U281"/>
    </row>
    <row r="282" spans="16:21">
      <c r="P282"/>
      <c r="Q282"/>
      <c r="R282"/>
      <c r="S282"/>
      <c r="T282"/>
      <c r="U282"/>
    </row>
    <row r="283" spans="16:21">
      <c r="P283"/>
      <c r="Q283"/>
      <c r="R283"/>
      <c r="S283"/>
      <c r="T283"/>
      <c r="U283"/>
    </row>
    <row r="284" spans="16:21">
      <c r="P284"/>
      <c r="Q284"/>
      <c r="R284"/>
      <c r="S284"/>
      <c r="T284"/>
      <c r="U284"/>
    </row>
    <row r="285" spans="16:21">
      <c r="P285"/>
      <c r="Q285"/>
      <c r="R285"/>
      <c r="S285"/>
      <c r="T285"/>
      <c r="U285"/>
    </row>
    <row r="286" spans="16:21">
      <c r="P286"/>
      <c r="Q286"/>
      <c r="R286"/>
      <c r="S286"/>
      <c r="T286"/>
      <c r="U286"/>
    </row>
    <row r="287" spans="16:21">
      <c r="P287"/>
      <c r="Q287"/>
      <c r="R287"/>
      <c r="S287"/>
      <c r="T287"/>
      <c r="U287"/>
    </row>
    <row r="288" spans="16:21">
      <c r="P288"/>
      <c r="Q288"/>
      <c r="R288"/>
      <c r="S288"/>
      <c r="T288"/>
      <c r="U288"/>
    </row>
    <row r="289" spans="16:21">
      <c r="P289"/>
      <c r="Q289"/>
      <c r="R289"/>
      <c r="S289"/>
      <c r="T289"/>
      <c r="U289"/>
    </row>
    <row r="290" spans="16:21">
      <c r="P290"/>
      <c r="Q290"/>
      <c r="R290"/>
      <c r="S290"/>
      <c r="T290"/>
      <c r="U290"/>
    </row>
    <row r="291" spans="16:21">
      <c r="P291"/>
      <c r="Q291"/>
      <c r="R291"/>
      <c r="S291"/>
      <c r="T291"/>
      <c r="U291"/>
    </row>
    <row r="292" spans="16:21">
      <c r="P292"/>
      <c r="Q292"/>
      <c r="R292"/>
      <c r="S292"/>
      <c r="T292"/>
      <c r="U292"/>
    </row>
    <row r="293" spans="16:21">
      <c r="P293"/>
      <c r="Q293"/>
      <c r="R293"/>
      <c r="S293"/>
      <c r="T293"/>
      <c r="U293"/>
    </row>
    <row r="294" spans="16:21">
      <c r="P294"/>
      <c r="Q294"/>
      <c r="R294"/>
      <c r="S294"/>
      <c r="T294"/>
      <c r="U294"/>
    </row>
    <row r="295" spans="16:21">
      <c r="P295"/>
      <c r="Q295"/>
      <c r="R295"/>
      <c r="S295"/>
      <c r="T295"/>
      <c r="U295"/>
    </row>
    <row r="296" spans="16:21">
      <c r="P296"/>
      <c r="Q296"/>
      <c r="R296"/>
      <c r="S296"/>
      <c r="T296"/>
      <c r="U296"/>
    </row>
    <row r="297" spans="16:21">
      <c r="P297"/>
      <c r="Q297"/>
      <c r="R297"/>
      <c r="S297"/>
      <c r="T297"/>
      <c r="U297"/>
    </row>
    <row r="298" spans="16:21">
      <c r="P298"/>
      <c r="Q298"/>
      <c r="R298"/>
      <c r="S298"/>
      <c r="T298"/>
      <c r="U298"/>
    </row>
    <row r="299" spans="16:21">
      <c r="P299"/>
      <c r="Q299"/>
      <c r="R299"/>
      <c r="S299"/>
      <c r="T299"/>
      <c r="U299"/>
    </row>
    <row r="300" spans="16:21">
      <c r="P300"/>
      <c r="Q300"/>
      <c r="R300"/>
      <c r="S300"/>
      <c r="T300"/>
      <c r="U300"/>
    </row>
    <row r="301" spans="16:21">
      <c r="P301"/>
      <c r="Q301"/>
      <c r="R301"/>
      <c r="S301"/>
      <c r="T301"/>
      <c r="U301"/>
    </row>
    <row r="302" spans="16:21">
      <c r="P302"/>
      <c r="Q302"/>
      <c r="R302"/>
      <c r="S302"/>
      <c r="T302"/>
      <c r="U302"/>
    </row>
    <row r="303" spans="16:21">
      <c r="P303"/>
      <c r="Q303"/>
      <c r="R303"/>
      <c r="S303"/>
      <c r="T303"/>
      <c r="U303"/>
    </row>
    <row r="304" spans="16:21">
      <c r="P304"/>
      <c r="Q304"/>
      <c r="R304"/>
      <c r="S304"/>
      <c r="T304"/>
      <c r="U304"/>
    </row>
    <row r="305" spans="16:21">
      <c r="P305"/>
      <c r="Q305"/>
      <c r="R305"/>
      <c r="S305"/>
      <c r="T305"/>
      <c r="U305"/>
    </row>
    <row r="306" spans="16:21">
      <c r="P306"/>
      <c r="Q306"/>
      <c r="R306"/>
      <c r="S306"/>
      <c r="T306"/>
      <c r="U306"/>
    </row>
    <row r="307" spans="16:21">
      <c r="P307"/>
      <c r="Q307"/>
      <c r="R307"/>
      <c r="S307"/>
      <c r="T307"/>
      <c r="U307"/>
    </row>
    <row r="308" spans="16:21">
      <c r="P308"/>
      <c r="Q308"/>
      <c r="R308"/>
      <c r="S308"/>
      <c r="T308"/>
      <c r="U308"/>
    </row>
    <row r="309" spans="16:21">
      <c r="P309"/>
      <c r="Q309"/>
      <c r="R309"/>
      <c r="S309"/>
      <c r="T309"/>
      <c r="U309"/>
    </row>
    <row r="310" spans="16:21">
      <c r="P310"/>
      <c r="Q310"/>
      <c r="R310"/>
      <c r="S310"/>
      <c r="T310"/>
      <c r="U310"/>
    </row>
    <row r="311" spans="16:21">
      <c r="P311"/>
      <c r="Q311"/>
      <c r="R311"/>
      <c r="S311"/>
      <c r="T311"/>
      <c r="U311"/>
    </row>
    <row r="312" spans="16:21">
      <c r="P312"/>
      <c r="Q312"/>
      <c r="R312"/>
      <c r="S312"/>
      <c r="T312"/>
      <c r="U312"/>
    </row>
    <row r="313" spans="16:21">
      <c r="P313"/>
      <c r="Q313"/>
      <c r="R313"/>
      <c r="S313"/>
      <c r="T313"/>
      <c r="U313"/>
    </row>
    <row r="314" spans="16:21">
      <c r="P314"/>
      <c r="Q314"/>
      <c r="R314"/>
      <c r="S314"/>
      <c r="T314"/>
      <c r="U314"/>
    </row>
    <row r="315" spans="16:21">
      <c r="P315"/>
      <c r="Q315"/>
      <c r="R315"/>
      <c r="S315"/>
      <c r="T315"/>
      <c r="U315"/>
    </row>
    <row r="316" spans="16:21">
      <c r="P316"/>
      <c r="Q316"/>
      <c r="R316"/>
      <c r="S316"/>
      <c r="T316"/>
      <c r="U316"/>
    </row>
    <row r="317" spans="16:21">
      <c r="P317"/>
      <c r="Q317"/>
      <c r="R317"/>
      <c r="S317"/>
      <c r="T317"/>
      <c r="U317"/>
    </row>
    <row r="318" spans="16:21">
      <c r="P318"/>
      <c r="Q318"/>
      <c r="R318"/>
      <c r="S318"/>
      <c r="T318"/>
      <c r="U318"/>
    </row>
    <row r="319" spans="16:21">
      <c r="P319"/>
      <c r="Q319"/>
      <c r="R319"/>
      <c r="S319"/>
      <c r="T319"/>
      <c r="U319"/>
    </row>
    <row r="320" spans="16:21">
      <c r="P320"/>
      <c r="Q320"/>
      <c r="R320"/>
      <c r="S320"/>
      <c r="T320"/>
      <c r="U320"/>
    </row>
    <row r="321" spans="16:21">
      <c r="P321"/>
      <c r="Q321"/>
      <c r="R321"/>
      <c r="S321"/>
      <c r="T321"/>
      <c r="U321"/>
    </row>
    <row r="322" spans="16:21">
      <c r="P322"/>
      <c r="Q322"/>
      <c r="R322"/>
      <c r="S322"/>
      <c r="T322"/>
      <c r="U322"/>
    </row>
    <row r="323" spans="16:21">
      <c r="P323"/>
      <c r="Q323"/>
      <c r="R323"/>
      <c r="S323"/>
      <c r="T323"/>
      <c r="U323"/>
    </row>
    <row r="324" spans="16:21">
      <c r="P324"/>
      <c r="Q324"/>
      <c r="R324"/>
      <c r="S324"/>
      <c r="T324"/>
      <c r="U324"/>
    </row>
    <row r="325" spans="16:21">
      <c r="P325"/>
      <c r="Q325"/>
      <c r="R325"/>
      <c r="S325"/>
      <c r="T325"/>
      <c r="U325"/>
    </row>
    <row r="326" spans="16:21">
      <c r="P326"/>
      <c r="Q326"/>
      <c r="R326"/>
      <c r="S326"/>
      <c r="T326"/>
      <c r="U326"/>
    </row>
    <row r="327" spans="16:21">
      <c r="P327"/>
      <c r="Q327"/>
      <c r="R327"/>
      <c r="S327"/>
      <c r="T327"/>
      <c r="U327"/>
    </row>
    <row r="328" spans="16:21">
      <c r="P328"/>
      <c r="Q328"/>
      <c r="R328"/>
      <c r="S328"/>
      <c r="T328"/>
      <c r="U328"/>
    </row>
    <row r="329" spans="16:21">
      <c r="P329"/>
      <c r="Q329"/>
      <c r="R329"/>
      <c r="S329"/>
      <c r="T329"/>
      <c r="U329"/>
    </row>
    <row r="330" spans="16:21">
      <c r="P330"/>
      <c r="Q330"/>
      <c r="R330"/>
      <c r="S330"/>
      <c r="T330"/>
      <c r="U330"/>
    </row>
    <row r="331" spans="16:21">
      <c r="P331"/>
      <c r="Q331"/>
      <c r="R331"/>
      <c r="S331"/>
      <c r="T331"/>
      <c r="U331"/>
    </row>
    <row r="332" spans="16:21">
      <c r="P332"/>
      <c r="Q332"/>
      <c r="R332"/>
      <c r="S332"/>
      <c r="T332"/>
      <c r="U332"/>
    </row>
    <row r="333" spans="16:21">
      <c r="P333"/>
      <c r="Q333"/>
      <c r="R333"/>
      <c r="S333"/>
      <c r="T333"/>
      <c r="U333"/>
    </row>
    <row r="334" spans="16:21">
      <c r="P334"/>
      <c r="Q334"/>
      <c r="R334"/>
      <c r="S334"/>
      <c r="T334"/>
      <c r="U334"/>
    </row>
    <row r="335" spans="16:21">
      <c r="P335"/>
      <c r="Q335"/>
      <c r="R335"/>
      <c r="S335"/>
      <c r="T335"/>
      <c r="U335"/>
    </row>
    <row r="336" spans="16:21">
      <c r="P336"/>
      <c r="Q336"/>
      <c r="R336"/>
      <c r="S336"/>
      <c r="T336"/>
      <c r="U336"/>
    </row>
    <row r="337" spans="16:21">
      <c r="P337"/>
      <c r="Q337"/>
      <c r="R337"/>
      <c r="S337"/>
      <c r="T337"/>
      <c r="U337"/>
    </row>
    <row r="338" spans="16:21">
      <c r="P338"/>
      <c r="Q338"/>
      <c r="R338"/>
      <c r="S338"/>
      <c r="T338"/>
      <c r="U338"/>
    </row>
    <row r="339" spans="16:21">
      <c r="P339"/>
      <c r="Q339"/>
      <c r="R339"/>
      <c r="S339"/>
      <c r="T339"/>
      <c r="U339"/>
    </row>
    <row r="340" spans="16:21">
      <c r="P340"/>
      <c r="Q340"/>
      <c r="R340"/>
      <c r="S340"/>
      <c r="T340"/>
      <c r="U340"/>
    </row>
    <row r="341" spans="16:21">
      <c r="P341"/>
      <c r="Q341"/>
      <c r="R341"/>
      <c r="S341"/>
      <c r="T341"/>
      <c r="U341"/>
    </row>
    <row r="342" spans="16:21">
      <c r="P342"/>
      <c r="Q342"/>
      <c r="R342"/>
      <c r="S342"/>
      <c r="T342"/>
      <c r="U342"/>
    </row>
    <row r="343" spans="16:21">
      <c r="P343"/>
      <c r="Q343"/>
      <c r="R343"/>
      <c r="S343"/>
      <c r="T343"/>
      <c r="U343"/>
    </row>
    <row r="344" spans="16:21">
      <c r="P344"/>
      <c r="Q344"/>
      <c r="R344"/>
      <c r="S344"/>
      <c r="T344"/>
      <c r="U344"/>
    </row>
    <row r="345" spans="16:21">
      <c r="P345"/>
      <c r="Q345"/>
      <c r="R345"/>
      <c r="S345"/>
      <c r="T345"/>
      <c r="U345"/>
    </row>
    <row r="346" spans="16:21">
      <c r="P346"/>
      <c r="Q346"/>
      <c r="R346"/>
      <c r="S346"/>
      <c r="T346"/>
      <c r="U346"/>
    </row>
    <row r="347" spans="16:21">
      <c r="P347"/>
      <c r="Q347"/>
      <c r="R347"/>
      <c r="S347"/>
      <c r="T347"/>
      <c r="U347"/>
    </row>
    <row r="348" spans="16:21">
      <c r="P348"/>
      <c r="Q348"/>
      <c r="R348"/>
      <c r="S348"/>
      <c r="T348"/>
      <c r="U348"/>
    </row>
    <row r="349" spans="16:21">
      <c r="P349"/>
      <c r="Q349"/>
      <c r="R349"/>
      <c r="S349"/>
      <c r="T349"/>
      <c r="U349"/>
    </row>
    <row r="350" spans="16:21">
      <c r="P350"/>
      <c r="Q350"/>
      <c r="R350"/>
      <c r="S350"/>
      <c r="T350"/>
      <c r="U350"/>
    </row>
    <row r="351" spans="16:21">
      <c r="P351"/>
      <c r="Q351"/>
      <c r="R351"/>
      <c r="S351"/>
      <c r="T351"/>
      <c r="U351"/>
    </row>
    <row r="352" spans="16:21">
      <c r="P352"/>
      <c r="Q352"/>
      <c r="R352"/>
      <c r="S352"/>
      <c r="T352"/>
      <c r="U352"/>
    </row>
    <row r="353" spans="16:21">
      <c r="P353"/>
      <c r="Q353"/>
      <c r="R353"/>
      <c r="S353"/>
      <c r="T353"/>
      <c r="U353"/>
    </row>
    <row r="354" spans="16:21">
      <c r="P354"/>
      <c r="Q354"/>
      <c r="R354"/>
      <c r="S354"/>
      <c r="T354"/>
      <c r="U354"/>
    </row>
    <row r="355" spans="16:21">
      <c r="P355"/>
      <c r="Q355"/>
      <c r="R355"/>
      <c r="S355"/>
      <c r="T355"/>
      <c r="U355"/>
    </row>
    <row r="356" spans="16:21">
      <c r="P356"/>
      <c r="Q356"/>
      <c r="R356"/>
      <c r="S356"/>
      <c r="T356"/>
      <c r="U356"/>
    </row>
    <row r="357" spans="16:21">
      <c r="P357"/>
      <c r="Q357"/>
      <c r="R357"/>
      <c r="S357"/>
      <c r="T357"/>
      <c r="U357"/>
    </row>
    <row r="358" spans="16:21">
      <c r="P358"/>
      <c r="Q358"/>
      <c r="R358"/>
      <c r="S358"/>
      <c r="T358"/>
      <c r="U358"/>
    </row>
    <row r="359" spans="16:21">
      <c r="P359"/>
      <c r="Q359"/>
      <c r="R359"/>
      <c r="S359"/>
      <c r="T359"/>
      <c r="U359"/>
    </row>
    <row r="360" spans="16:21">
      <c r="P360"/>
      <c r="Q360"/>
      <c r="R360"/>
      <c r="S360"/>
      <c r="T360"/>
      <c r="U360"/>
    </row>
    <row r="361" spans="16:21">
      <c r="P361"/>
      <c r="Q361"/>
      <c r="R361"/>
      <c r="S361"/>
      <c r="T361"/>
      <c r="U361"/>
    </row>
    <row r="362" spans="16:21">
      <c r="P362"/>
      <c r="Q362"/>
      <c r="R362"/>
      <c r="S362"/>
      <c r="T362"/>
      <c r="U362"/>
    </row>
    <row r="363" spans="16:21">
      <c r="P363"/>
      <c r="Q363"/>
      <c r="R363"/>
      <c r="S363"/>
      <c r="T363"/>
      <c r="U363"/>
    </row>
    <row r="364" spans="16:21">
      <c r="P364"/>
      <c r="Q364"/>
      <c r="R364"/>
      <c r="S364"/>
      <c r="T364"/>
      <c r="U364"/>
    </row>
    <row r="365" spans="16:21">
      <c r="P365"/>
      <c r="Q365"/>
      <c r="R365"/>
      <c r="S365"/>
      <c r="T365"/>
      <c r="U365"/>
    </row>
    <row r="366" spans="16:21">
      <c r="P366"/>
      <c r="Q366"/>
      <c r="R366"/>
      <c r="S366"/>
      <c r="T366"/>
      <c r="U366"/>
    </row>
    <row r="367" spans="16:21">
      <c r="P367"/>
      <c r="Q367"/>
      <c r="R367"/>
      <c r="S367"/>
      <c r="T367"/>
      <c r="U367"/>
    </row>
    <row r="368" spans="16:21">
      <c r="P368"/>
      <c r="Q368"/>
      <c r="R368"/>
      <c r="S368"/>
      <c r="T368"/>
      <c r="U368"/>
    </row>
    <row r="369" spans="16:21">
      <c r="P369"/>
      <c r="Q369"/>
      <c r="R369"/>
      <c r="S369"/>
      <c r="T369"/>
      <c r="U369"/>
    </row>
    <row r="370" spans="16:21">
      <c r="P370"/>
      <c r="Q370"/>
      <c r="R370"/>
      <c r="S370"/>
      <c r="T370"/>
      <c r="U370"/>
    </row>
    <row r="371" spans="16:21">
      <c r="P371"/>
      <c r="Q371"/>
      <c r="R371"/>
      <c r="S371"/>
      <c r="T371"/>
      <c r="U371"/>
    </row>
    <row r="372" spans="16:21">
      <c r="P372"/>
      <c r="Q372"/>
      <c r="R372"/>
      <c r="S372"/>
      <c r="T372"/>
      <c r="U372"/>
    </row>
    <row r="373" spans="16:21">
      <c r="P373"/>
      <c r="Q373"/>
      <c r="R373"/>
      <c r="S373"/>
      <c r="T373"/>
      <c r="U373"/>
    </row>
    <row r="374" spans="16:21">
      <c r="P374"/>
      <c r="Q374"/>
      <c r="R374"/>
      <c r="S374"/>
      <c r="T374"/>
      <c r="U374"/>
    </row>
    <row r="375" spans="16:21">
      <c r="P375"/>
      <c r="Q375"/>
      <c r="R375"/>
      <c r="S375"/>
      <c r="T375"/>
      <c r="U375"/>
    </row>
    <row r="376" spans="16:21">
      <c r="P376"/>
      <c r="Q376"/>
      <c r="R376"/>
      <c r="S376"/>
      <c r="T376"/>
      <c r="U376"/>
    </row>
    <row r="377" spans="16:21">
      <c r="P377"/>
      <c r="Q377"/>
      <c r="R377"/>
      <c r="S377"/>
      <c r="T377"/>
      <c r="U377"/>
    </row>
    <row r="378" spans="16:21">
      <c r="P378"/>
      <c r="Q378"/>
      <c r="R378"/>
      <c r="S378"/>
      <c r="T378"/>
      <c r="U378"/>
    </row>
    <row r="379" spans="16:21">
      <c r="P379"/>
      <c r="Q379"/>
      <c r="R379"/>
      <c r="S379"/>
      <c r="T379"/>
      <c r="U379"/>
    </row>
    <row r="380" spans="16:21">
      <c r="P380"/>
      <c r="Q380"/>
      <c r="R380"/>
      <c r="S380"/>
      <c r="T380"/>
      <c r="U380"/>
    </row>
    <row r="381" spans="16:21">
      <c r="P381"/>
      <c r="Q381"/>
      <c r="R381"/>
      <c r="S381"/>
      <c r="T381"/>
      <c r="U381"/>
    </row>
    <row r="382" spans="16:21">
      <c r="P382"/>
      <c r="Q382"/>
      <c r="R382"/>
      <c r="S382"/>
      <c r="T382"/>
      <c r="U382"/>
    </row>
    <row r="383" spans="16:21">
      <c r="P383"/>
      <c r="Q383"/>
      <c r="R383"/>
      <c r="S383"/>
      <c r="T383"/>
      <c r="U383"/>
    </row>
    <row r="384" spans="16:21">
      <c r="P384"/>
      <c r="Q384"/>
      <c r="R384"/>
      <c r="S384"/>
      <c r="T384"/>
      <c r="U384"/>
    </row>
    <row r="385" spans="16:21">
      <c r="P385"/>
      <c r="Q385"/>
      <c r="R385"/>
      <c r="S385"/>
      <c r="T385"/>
      <c r="U385"/>
    </row>
    <row r="386" spans="16:21">
      <c r="P386"/>
      <c r="Q386"/>
      <c r="R386"/>
      <c r="S386"/>
      <c r="T386"/>
      <c r="U386"/>
    </row>
    <row r="387" spans="16:21">
      <c r="P387"/>
      <c r="Q387"/>
      <c r="R387"/>
      <c r="S387"/>
      <c r="T387"/>
      <c r="U387"/>
    </row>
    <row r="388" spans="16:21">
      <c r="P388"/>
      <c r="Q388"/>
      <c r="R388"/>
      <c r="S388"/>
      <c r="T388"/>
      <c r="U388"/>
    </row>
    <row r="389" spans="16:21">
      <c r="P389"/>
      <c r="Q389"/>
      <c r="R389"/>
      <c r="S389"/>
      <c r="T389"/>
      <c r="U389"/>
    </row>
    <row r="390" spans="16:21">
      <c r="P390"/>
      <c r="Q390"/>
      <c r="R390"/>
      <c r="S390"/>
      <c r="T390"/>
      <c r="U390"/>
    </row>
    <row r="391" spans="16:21">
      <c r="P391"/>
      <c r="Q391"/>
      <c r="R391"/>
      <c r="S391"/>
      <c r="T391"/>
      <c r="U391"/>
    </row>
    <row r="392" spans="16:21">
      <c r="P392"/>
      <c r="Q392"/>
      <c r="R392"/>
      <c r="S392"/>
      <c r="T392"/>
      <c r="U392"/>
    </row>
    <row r="393" spans="16:21">
      <c r="P393"/>
      <c r="Q393"/>
      <c r="R393"/>
      <c r="S393"/>
      <c r="T393"/>
      <c r="U393"/>
    </row>
    <row r="394" spans="16:21">
      <c r="P394"/>
      <c r="Q394"/>
      <c r="R394"/>
      <c r="S394"/>
      <c r="T394"/>
      <c r="U394"/>
    </row>
    <row r="395" spans="16:21">
      <c r="P395"/>
      <c r="Q395"/>
      <c r="R395"/>
      <c r="S395"/>
      <c r="T395"/>
      <c r="U395"/>
    </row>
    <row r="396" spans="16:21">
      <c r="P396"/>
      <c r="Q396"/>
      <c r="R396"/>
      <c r="S396"/>
      <c r="T396"/>
      <c r="U396"/>
    </row>
    <row r="397" spans="16:21">
      <c r="P397"/>
      <c r="Q397"/>
      <c r="R397"/>
      <c r="S397"/>
      <c r="T397"/>
      <c r="U397"/>
    </row>
    <row r="398" spans="16:21">
      <c r="P398"/>
      <c r="Q398"/>
      <c r="R398"/>
      <c r="S398"/>
      <c r="T398"/>
      <c r="U398"/>
    </row>
    <row r="399" spans="16:21">
      <c r="P399"/>
      <c r="Q399"/>
      <c r="R399"/>
      <c r="S399"/>
      <c r="T399"/>
      <c r="U399"/>
    </row>
    <row r="400" spans="16:21">
      <c r="P400"/>
      <c r="Q400"/>
      <c r="R400"/>
      <c r="S400"/>
      <c r="T400"/>
      <c r="U400"/>
    </row>
    <row r="401" spans="16:21">
      <c r="P401"/>
      <c r="Q401"/>
      <c r="R401"/>
      <c r="S401"/>
      <c r="T401"/>
      <c r="U401"/>
    </row>
    <row r="402" spans="16:21">
      <c r="P402"/>
      <c r="Q402"/>
      <c r="R402"/>
      <c r="S402"/>
      <c r="T402"/>
      <c r="U402"/>
    </row>
    <row r="403" spans="16:21">
      <c r="P403"/>
      <c r="Q403"/>
      <c r="R403"/>
      <c r="S403"/>
      <c r="T403"/>
      <c r="U403"/>
    </row>
    <row r="404" spans="16:21">
      <c r="P404"/>
      <c r="Q404"/>
      <c r="R404"/>
      <c r="S404"/>
      <c r="T404"/>
      <c r="U404"/>
    </row>
    <row r="405" spans="16:21">
      <c r="P405"/>
      <c r="Q405"/>
      <c r="R405"/>
      <c r="S405"/>
      <c r="T405"/>
      <c r="U405"/>
    </row>
    <row r="406" spans="16:21">
      <c r="P406"/>
      <c r="Q406"/>
      <c r="R406"/>
      <c r="S406"/>
      <c r="T406"/>
      <c r="U406"/>
    </row>
    <row r="407" spans="16:21">
      <c r="P407"/>
      <c r="Q407"/>
      <c r="R407"/>
      <c r="S407"/>
      <c r="T407"/>
      <c r="U407"/>
    </row>
    <row r="408" spans="16:21">
      <c r="P408"/>
      <c r="Q408"/>
      <c r="R408"/>
      <c r="S408"/>
      <c r="T408"/>
      <c r="U408"/>
    </row>
    <row r="409" spans="16:21">
      <c r="P409"/>
      <c r="Q409"/>
      <c r="R409"/>
      <c r="S409"/>
      <c r="T409"/>
      <c r="U409"/>
    </row>
    <row r="410" spans="16:21">
      <c r="P410"/>
      <c r="Q410"/>
      <c r="R410"/>
      <c r="S410"/>
      <c r="T410"/>
      <c r="U410"/>
    </row>
    <row r="411" spans="16:21">
      <c r="P411"/>
      <c r="Q411"/>
      <c r="R411"/>
      <c r="S411"/>
      <c r="T411"/>
      <c r="U411"/>
    </row>
    <row r="412" spans="16:21">
      <c r="P412"/>
      <c r="Q412"/>
      <c r="R412"/>
      <c r="S412"/>
      <c r="T412"/>
      <c r="U412"/>
    </row>
    <row r="413" spans="16:21">
      <c r="P413"/>
      <c r="Q413"/>
      <c r="R413"/>
      <c r="S413"/>
      <c r="T413"/>
      <c r="U413"/>
    </row>
    <row r="414" spans="16:21">
      <c r="P414"/>
      <c r="Q414"/>
      <c r="R414"/>
      <c r="S414"/>
      <c r="T414"/>
      <c r="U414"/>
    </row>
    <row r="415" spans="16:21">
      <c r="P415"/>
      <c r="Q415"/>
      <c r="R415"/>
      <c r="S415"/>
      <c r="T415"/>
      <c r="U415"/>
    </row>
    <row r="416" spans="16:21">
      <c r="P416"/>
      <c r="Q416"/>
      <c r="R416"/>
      <c r="S416"/>
      <c r="T416"/>
      <c r="U416"/>
    </row>
    <row r="417" spans="16:23">
      <c r="P417"/>
      <c r="Q417"/>
      <c r="R417"/>
      <c r="S417"/>
      <c r="T417"/>
      <c r="U417"/>
    </row>
    <row r="418" spans="16:23">
      <c r="P418"/>
      <c r="Q418"/>
      <c r="R418"/>
      <c r="S418"/>
      <c r="T418"/>
      <c r="U418"/>
    </row>
    <row r="419" spans="16:23">
      <c r="P419"/>
      <c r="Q419"/>
      <c r="R419"/>
      <c r="S419"/>
      <c r="T419"/>
      <c r="U419"/>
    </row>
    <row r="420" spans="16:23">
      <c r="P420"/>
      <c r="Q420"/>
      <c r="R420"/>
      <c r="S420"/>
      <c r="T420"/>
      <c r="U420"/>
    </row>
    <row r="421" spans="16:23">
      <c r="P421"/>
      <c r="Q421"/>
      <c r="R421"/>
      <c r="S421"/>
      <c r="T421"/>
      <c r="U421"/>
    </row>
    <row r="422" spans="16:23">
      <c r="P422"/>
      <c r="Q422"/>
      <c r="R422"/>
      <c r="S422"/>
      <c r="T422"/>
      <c r="U422"/>
    </row>
    <row r="423" spans="16:23">
      <c r="P423"/>
      <c r="Q423"/>
      <c r="R423"/>
      <c r="S423"/>
      <c r="T423"/>
      <c r="U423"/>
    </row>
    <row r="424" spans="16:23">
      <c r="P424"/>
      <c r="Q424"/>
      <c r="R424"/>
      <c r="S424"/>
      <c r="T424"/>
      <c r="U424"/>
    </row>
    <row r="425" spans="16:23">
      <c r="P425"/>
      <c r="Q425"/>
      <c r="R425"/>
      <c r="S425"/>
      <c r="T425"/>
      <c r="U425"/>
    </row>
    <row r="426" spans="16:23">
      <c r="P426"/>
      <c r="Q426"/>
      <c r="R426"/>
      <c r="S426"/>
      <c r="T426"/>
      <c r="U426"/>
    </row>
    <row r="427" spans="16:23">
      <c r="P427"/>
      <c r="Q427"/>
      <c r="R427"/>
      <c r="S427"/>
      <c r="T427"/>
      <c r="U427"/>
    </row>
    <row r="428" spans="16:23">
      <c r="P428"/>
      <c r="Q428"/>
      <c r="R428"/>
      <c r="S428"/>
      <c r="T428"/>
      <c r="U428"/>
    </row>
    <row r="429" spans="16:23">
      <c r="P429"/>
      <c r="Q429"/>
      <c r="R429"/>
      <c r="S429"/>
      <c r="T429"/>
      <c r="U429"/>
    </row>
    <row r="430" spans="16:23">
      <c r="P430"/>
      <c r="Q430"/>
      <c r="R430"/>
      <c r="S430"/>
      <c r="T430"/>
      <c r="U430"/>
      <c r="V430"/>
      <c r="W430"/>
    </row>
    <row r="431" spans="16:23">
      <c r="P431"/>
      <c r="Q431"/>
      <c r="R431"/>
      <c r="S431"/>
      <c r="T431"/>
      <c r="U431"/>
      <c r="V431"/>
      <c r="W431"/>
    </row>
    <row r="432" spans="16:23">
      <c r="P432"/>
      <c r="Q432"/>
      <c r="R432"/>
      <c r="S432"/>
      <c r="T432"/>
      <c r="U432"/>
      <c r="W432"/>
    </row>
    <row r="433" spans="16:23">
      <c r="P433"/>
      <c r="Q433"/>
      <c r="R433"/>
      <c r="S433"/>
      <c r="T433"/>
      <c r="U433"/>
      <c r="W433"/>
    </row>
    <row r="434" spans="16:23">
      <c r="P434"/>
      <c r="Q434"/>
      <c r="R434"/>
      <c r="S434"/>
      <c r="T434"/>
      <c r="U434"/>
      <c r="W434"/>
    </row>
    <row r="435" spans="16:23">
      <c r="P435"/>
      <c r="Q435"/>
      <c r="R435"/>
      <c r="S435"/>
      <c r="T435"/>
      <c r="U435"/>
      <c r="W435"/>
    </row>
    <row r="436" spans="16:23">
      <c r="P436"/>
      <c r="Q436"/>
      <c r="R436"/>
      <c r="S436"/>
      <c r="T436"/>
      <c r="U436"/>
      <c r="W436"/>
    </row>
    <row r="437" spans="16:23">
      <c r="P437"/>
      <c r="Q437"/>
      <c r="R437"/>
      <c r="S437"/>
      <c r="T437"/>
      <c r="W437"/>
    </row>
    <row r="438" spans="16:23">
      <c r="P438"/>
      <c r="Q438"/>
      <c r="R438"/>
      <c r="S438"/>
      <c r="T438"/>
      <c r="W438"/>
    </row>
    <row r="439" spans="16:23">
      <c r="P439"/>
      <c r="Q439"/>
      <c r="R439"/>
      <c r="S439"/>
      <c r="T439"/>
      <c r="W439"/>
    </row>
    <row r="440" spans="16:23">
      <c r="P440"/>
      <c r="Q440"/>
      <c r="R440"/>
      <c r="S440"/>
      <c r="T440"/>
      <c r="W440"/>
    </row>
    <row r="441" spans="16:23">
      <c r="P441"/>
      <c r="Q441"/>
      <c r="R441"/>
      <c r="S441"/>
      <c r="T441"/>
      <c r="W441"/>
    </row>
    <row r="442" spans="16:23">
      <c r="P442"/>
      <c r="Q442"/>
      <c r="R442"/>
      <c r="S442"/>
      <c r="T442"/>
      <c r="W442"/>
    </row>
    <row r="443" spans="16:23">
      <c r="P443"/>
      <c r="Q443"/>
      <c r="R443"/>
      <c r="S443"/>
      <c r="T443"/>
      <c r="W443"/>
    </row>
    <row r="444" spans="16:23">
      <c r="P444"/>
      <c r="Q444"/>
      <c r="R444"/>
      <c r="S444"/>
      <c r="T444"/>
      <c r="W444"/>
    </row>
    <row r="445" spans="16:23">
      <c r="P445"/>
      <c r="Q445"/>
      <c r="R445"/>
      <c r="S445"/>
      <c r="T445"/>
      <c r="W445"/>
    </row>
    <row r="446" spans="16:23">
      <c r="P446"/>
      <c r="Q446"/>
      <c r="R446"/>
      <c r="S446"/>
      <c r="T446"/>
      <c r="W446"/>
    </row>
    <row r="447" spans="16:23">
      <c r="P447"/>
      <c r="Q447"/>
      <c r="R447"/>
      <c r="S447"/>
      <c r="T447"/>
      <c r="W447"/>
    </row>
    <row r="448" spans="16:23">
      <c r="P448"/>
      <c r="Q448"/>
      <c r="R448"/>
      <c r="S448"/>
      <c r="T448"/>
      <c r="W448"/>
    </row>
    <row r="449" spans="16:23">
      <c r="P449"/>
      <c r="Q449"/>
      <c r="R449"/>
      <c r="S449"/>
      <c r="T449"/>
      <c r="W449"/>
    </row>
    <row r="450" spans="16:23">
      <c r="Q450"/>
      <c r="R450"/>
      <c r="S450"/>
      <c r="T450"/>
      <c r="W450"/>
    </row>
    <row r="451" spans="16:23">
      <c r="Q451"/>
      <c r="R451"/>
      <c r="S451"/>
      <c r="T451"/>
      <c r="W451"/>
    </row>
    <row r="452" spans="16:23">
      <c r="Q452"/>
      <c r="R452"/>
      <c r="S452"/>
      <c r="T452"/>
      <c r="W452"/>
    </row>
    <row r="453" spans="16:23">
      <c r="Q453"/>
      <c r="R453"/>
      <c r="S453"/>
      <c r="T453"/>
    </row>
    <row r="454" spans="16:23">
      <c r="Q454"/>
      <c r="R454"/>
      <c r="S454"/>
      <c r="T454"/>
    </row>
    <row r="455" spans="16:23">
      <c r="Q455"/>
      <c r="R455"/>
      <c r="S455"/>
      <c r="T455"/>
    </row>
    <row r="456" spans="16:23">
      <c r="Q456"/>
      <c r="R456"/>
      <c r="S456"/>
      <c r="T456"/>
    </row>
    <row r="457" spans="16:23">
      <c r="Q457"/>
      <c r="R457"/>
      <c r="S457"/>
      <c r="T457"/>
    </row>
    <row r="458" spans="16:23">
      <c r="Q458"/>
      <c r="R458"/>
      <c r="S458"/>
      <c r="T458"/>
    </row>
    <row r="459" spans="16:23">
      <c r="Q459"/>
      <c r="R459"/>
      <c r="S459"/>
      <c r="T459"/>
    </row>
    <row r="460" spans="16:23">
      <c r="R460"/>
      <c r="S460"/>
      <c r="T460"/>
    </row>
    <row r="461" spans="16:23">
      <c r="R461"/>
      <c r="S461"/>
      <c r="T461"/>
    </row>
  </sheetData>
  <mergeCells count="33">
    <mergeCell ref="O71:Q71"/>
    <mergeCell ref="Y2:AA2"/>
    <mergeCell ref="A23:A24"/>
    <mergeCell ref="C23:E23"/>
    <mergeCell ref="F23:G23"/>
    <mergeCell ref="H23:I23"/>
    <mergeCell ref="M70:U70"/>
    <mergeCell ref="M69:U69"/>
    <mergeCell ref="M3:M4"/>
    <mergeCell ref="R3:S3"/>
    <mergeCell ref="T3:U3"/>
    <mergeCell ref="O3:Q3"/>
    <mergeCell ref="G20:H20"/>
    <mergeCell ref="G19:H19"/>
    <mergeCell ref="W91:AE91"/>
    <mergeCell ref="W92:W93"/>
    <mergeCell ref="Y92:AA92"/>
    <mergeCell ref="AB92:AC92"/>
    <mergeCell ref="AD92:AE92"/>
    <mergeCell ref="AB58:AC58"/>
    <mergeCell ref="AD58:AE58"/>
    <mergeCell ref="W1:AE1"/>
    <mergeCell ref="W2:W3"/>
    <mergeCell ref="AB2:AC2"/>
    <mergeCell ref="AD2:AE2"/>
    <mergeCell ref="W29:AE29"/>
    <mergeCell ref="W30:W31"/>
    <mergeCell ref="Y30:AA30"/>
    <mergeCell ref="AB30:AC30"/>
    <mergeCell ref="AD30:AE30"/>
    <mergeCell ref="W57:AE57"/>
    <mergeCell ref="W58:W59"/>
    <mergeCell ref="Y58:AA58"/>
  </mergeCells>
  <phoneticPr fontId="2" type="noConversion"/>
  <printOptions horizontalCentered="1"/>
  <pageMargins left="0" right="0" top="0.5" bottom="0.5" header="0.5" footer="0.5"/>
  <pageSetup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V41"/>
  <sheetViews>
    <sheetView zoomScaleNormal="100" workbookViewId="0">
      <selection activeCell="G21" sqref="G21"/>
    </sheetView>
  </sheetViews>
  <sheetFormatPr defaultColWidth="9.140625" defaultRowHeight="12.75"/>
  <cols>
    <col min="1" max="1" width="19.140625" style="7" customWidth="1"/>
    <col min="2" max="2" width="16.140625" style="7" customWidth="1"/>
    <col min="3" max="3" width="9.140625" style="7" customWidth="1"/>
    <col min="4" max="4" width="22.85546875" style="7" customWidth="1"/>
    <col min="5" max="5" width="19.7109375" style="7" customWidth="1"/>
    <col min="6" max="6" width="24.42578125" style="7" bestFit="1" customWidth="1"/>
    <col min="7" max="7" width="10.7109375" style="7" customWidth="1"/>
    <col min="8" max="8" width="9.140625" style="7"/>
    <col min="9" max="9" width="15" style="7" bestFit="1" customWidth="1"/>
    <col min="10" max="10" width="9.140625" style="7"/>
    <col min="11" max="11" width="28.5703125" style="7" customWidth="1"/>
    <col min="12" max="16384" width="9.140625" style="7"/>
  </cols>
  <sheetData>
    <row r="1" spans="1:22">
      <c r="A1" s="7" t="s">
        <v>16</v>
      </c>
      <c r="D1" s="316" t="s">
        <v>610</v>
      </c>
      <c r="E1" s="16"/>
    </row>
    <row r="2" spans="1:22">
      <c r="A2" s="7" t="s">
        <v>14</v>
      </c>
      <c r="D2" s="294" t="s">
        <v>611</v>
      </c>
      <c r="M2" s="83"/>
    </row>
    <row r="3" spans="1:22">
      <c r="A3" s="7" t="s">
        <v>15</v>
      </c>
      <c r="D3" s="58" t="s">
        <v>341</v>
      </c>
      <c r="J3" s="83"/>
      <c r="M3" s="83"/>
    </row>
    <row r="4" spans="1:22">
      <c r="D4" s="7" t="s">
        <v>322</v>
      </c>
      <c r="E4" s="162" t="s">
        <v>323</v>
      </c>
      <c r="J4" s="83"/>
    </row>
    <row r="5" spans="1:22">
      <c r="A5" s="389" t="s">
        <v>342</v>
      </c>
      <c r="B5" s="389"/>
      <c r="D5" s="7" t="s">
        <v>324</v>
      </c>
      <c r="E5" s="7" t="s">
        <v>325</v>
      </c>
      <c r="J5" s="83"/>
    </row>
    <row r="6" spans="1:22">
      <c r="A6" s="354" t="s">
        <v>19</v>
      </c>
      <c r="B6" s="354"/>
      <c r="D6" s="7" t="s">
        <v>326</v>
      </c>
      <c r="E6" s="7" t="s">
        <v>547</v>
      </c>
      <c r="J6" s="83"/>
      <c r="M6" s="83"/>
    </row>
    <row r="7" spans="1:22">
      <c r="A7" s="216" t="str">
        <f>G17</f>
        <v>Sep
2024</v>
      </c>
      <c r="B7" s="98" t="s">
        <v>17</v>
      </c>
      <c r="C7" s="87"/>
      <c r="D7" s="7" t="s">
        <v>327</v>
      </c>
      <c r="J7" s="83"/>
      <c r="M7" s="83"/>
    </row>
    <row r="8" spans="1:22">
      <c r="A8" s="83" t="s">
        <v>78</v>
      </c>
      <c r="B8" s="214">
        <f>G29/100</f>
        <v>-1.1000000000000001E-2</v>
      </c>
      <c r="D8" s="88" t="s">
        <v>328</v>
      </c>
      <c r="E8" s="7" t="s">
        <v>329</v>
      </c>
      <c r="G8" s="105"/>
      <c r="H8" s="15"/>
      <c r="J8" s="83"/>
    </row>
    <row r="9" spans="1:22">
      <c r="A9" s="83" t="s">
        <v>303</v>
      </c>
      <c r="B9" s="214">
        <f>G27/100</f>
        <v>3.3000000000000002E-2</v>
      </c>
      <c r="D9" s="88" t="s">
        <v>330</v>
      </c>
      <c r="E9" s="7" t="s">
        <v>331</v>
      </c>
      <c r="G9" s="105"/>
      <c r="H9" s="15"/>
      <c r="J9" s="83"/>
    </row>
    <row r="10" spans="1:22">
      <c r="A10" s="83" t="s">
        <v>74</v>
      </c>
      <c r="B10" s="214">
        <f>G25/100</f>
        <v>4.0999999999999995E-2</v>
      </c>
      <c r="D10" s="88" t="s">
        <v>332</v>
      </c>
      <c r="E10" s="7" t="s">
        <v>334</v>
      </c>
      <c r="G10" s="105"/>
      <c r="H10" s="15"/>
      <c r="J10" s="83"/>
      <c r="M10" s="83"/>
    </row>
    <row r="11" spans="1:22">
      <c r="A11" s="83" t="s">
        <v>302</v>
      </c>
      <c r="B11" s="214">
        <f>G23/100</f>
        <v>2.2000000000000002E-2</v>
      </c>
      <c r="D11" s="88" t="s">
        <v>333</v>
      </c>
      <c r="E11" s="7" t="s">
        <v>335</v>
      </c>
      <c r="G11" s="105"/>
      <c r="H11" s="15"/>
      <c r="J11" s="83"/>
      <c r="M11" s="83"/>
    </row>
    <row r="12" spans="1:22">
      <c r="A12" s="83" t="s">
        <v>69</v>
      </c>
      <c r="B12" s="214">
        <f>G21/100</f>
        <v>-6.8000000000000005E-2</v>
      </c>
      <c r="D12" s="88" t="s">
        <v>336</v>
      </c>
      <c r="E12" s="7" t="s">
        <v>337</v>
      </c>
      <c r="G12" s="105"/>
      <c r="H12" s="15"/>
      <c r="J12" s="83"/>
      <c r="M12" s="83"/>
    </row>
    <row r="13" spans="1:22">
      <c r="A13" s="83" t="s">
        <v>18</v>
      </c>
      <c r="B13" s="214">
        <f>G19/100</f>
        <v>2.4E-2</v>
      </c>
      <c r="D13" s="88" t="s">
        <v>338</v>
      </c>
      <c r="G13" s="105"/>
      <c r="H13" s="15"/>
      <c r="J13" s="83"/>
      <c r="M13" s="83"/>
    </row>
    <row r="14" spans="1:22">
      <c r="D14" s="7" t="s">
        <v>339</v>
      </c>
      <c r="J14" s="83"/>
      <c r="M14" s="83"/>
    </row>
    <row r="15" spans="1:22">
      <c r="J15" s="83"/>
      <c r="M15" s="83"/>
    </row>
    <row r="16" spans="1:22" ht="15.75">
      <c r="E16" s="7" t="s">
        <v>340</v>
      </c>
      <c r="I16" s="387"/>
      <c r="J16" s="388"/>
      <c r="K16" s="388"/>
      <c r="L16" s="388"/>
      <c r="M16" s="388"/>
      <c r="N16" s="388"/>
      <c r="O16" s="388"/>
      <c r="P16" s="388"/>
      <c r="Q16" s="388"/>
      <c r="R16" s="388"/>
      <c r="S16" s="388"/>
      <c r="T16" s="388"/>
      <c r="U16" s="388"/>
      <c r="V16" s="388"/>
    </row>
    <row r="17" spans="1:11" ht="32.25" customHeight="1" thickBot="1">
      <c r="A17" s="390" t="s">
        <v>68</v>
      </c>
      <c r="B17" s="390"/>
      <c r="E17" s="236" t="s">
        <v>306</v>
      </c>
      <c r="F17" s="236" t="s">
        <v>307</v>
      </c>
      <c r="G17" s="237" t="s">
        <v>609</v>
      </c>
      <c r="H17" s="159"/>
      <c r="I17" s="159"/>
      <c r="J17" s="159"/>
      <c r="K17" s="159"/>
    </row>
    <row r="18" spans="1:11" ht="15.75" thickTop="1">
      <c r="B18" s="98" t="s">
        <v>17</v>
      </c>
      <c r="E18" s="238" t="s">
        <v>71</v>
      </c>
      <c r="F18" s="238" t="s">
        <v>316</v>
      </c>
      <c r="G18" s="239">
        <v>315.30099999999999</v>
      </c>
      <c r="H18" s="159"/>
      <c r="I18" s="159"/>
      <c r="J18" s="159"/>
      <c r="K18" s="159"/>
    </row>
    <row r="19" spans="1:11" ht="15">
      <c r="A19" s="83" t="s">
        <v>18</v>
      </c>
      <c r="B19" s="215">
        <f>G18</f>
        <v>315.30099999999999</v>
      </c>
      <c r="E19" s="238" t="s">
        <v>71</v>
      </c>
      <c r="F19" s="238" t="s">
        <v>545</v>
      </c>
      <c r="G19" s="240">
        <v>2.4</v>
      </c>
      <c r="H19" s="159"/>
      <c r="I19" s="159"/>
      <c r="J19" s="159"/>
      <c r="K19" s="159"/>
    </row>
    <row r="20" spans="1:11" ht="15">
      <c r="A20" s="83" t="s">
        <v>69</v>
      </c>
      <c r="B20" s="215">
        <f>G20</f>
        <v>275.74</v>
      </c>
      <c r="E20" s="238" t="s">
        <v>70</v>
      </c>
      <c r="F20" s="238" t="s">
        <v>316</v>
      </c>
      <c r="G20" s="239">
        <v>275.74</v>
      </c>
      <c r="H20" s="159"/>
      <c r="I20" s="159"/>
      <c r="J20" s="159"/>
      <c r="K20" s="159"/>
    </row>
    <row r="21" spans="1:11" ht="15">
      <c r="A21" s="83" t="s">
        <v>72</v>
      </c>
      <c r="B21" s="215">
        <f>G22</f>
        <v>329.41699999999997</v>
      </c>
      <c r="E21" s="238" t="s">
        <v>70</v>
      </c>
      <c r="F21" s="238" t="s">
        <v>545</v>
      </c>
      <c r="G21" s="240">
        <v>-6.8</v>
      </c>
      <c r="H21" s="159"/>
      <c r="I21" s="159"/>
      <c r="J21" s="159"/>
      <c r="K21" s="159"/>
    </row>
    <row r="22" spans="1:11" ht="15">
      <c r="A22" s="83" t="s">
        <v>74</v>
      </c>
      <c r="B22" s="215">
        <f>G24</f>
        <v>336.77600000000001</v>
      </c>
      <c r="E22" s="238" t="s">
        <v>73</v>
      </c>
      <c r="F22" s="238" t="s">
        <v>316</v>
      </c>
      <c r="G22" s="239">
        <v>329.41699999999997</v>
      </c>
      <c r="H22" s="159"/>
      <c r="I22" s="159"/>
      <c r="J22" s="159"/>
      <c r="K22" s="159"/>
    </row>
    <row r="23" spans="1:11" ht="15">
      <c r="A23" s="83" t="s">
        <v>76</v>
      </c>
      <c r="B23" s="215">
        <f>G26</f>
        <v>566.26599999999996</v>
      </c>
      <c r="E23" s="238" t="s">
        <v>73</v>
      </c>
      <c r="F23" s="238" t="s">
        <v>545</v>
      </c>
      <c r="G23" s="240">
        <v>2.2000000000000002</v>
      </c>
      <c r="H23" s="159"/>
      <c r="I23" s="159"/>
      <c r="J23" s="159"/>
      <c r="K23" s="159"/>
    </row>
    <row r="24" spans="1:11" ht="15">
      <c r="A24" s="83" t="s">
        <v>78</v>
      </c>
      <c r="B24" s="215">
        <f>G28</f>
        <v>269.60399999999998</v>
      </c>
      <c r="E24" s="238" t="s">
        <v>75</v>
      </c>
      <c r="F24" s="238" t="s">
        <v>316</v>
      </c>
      <c r="G24" s="239">
        <v>336.77600000000001</v>
      </c>
      <c r="H24" s="159"/>
      <c r="I24" s="159"/>
      <c r="J24" s="159"/>
      <c r="K24" s="159"/>
    </row>
    <row r="25" spans="1:11" ht="15">
      <c r="E25" s="238" t="s">
        <v>75</v>
      </c>
      <c r="F25" s="238" t="s">
        <v>545</v>
      </c>
      <c r="G25" s="240">
        <v>4.0999999999999996</v>
      </c>
      <c r="H25" s="159"/>
      <c r="I25" s="159"/>
      <c r="J25" s="159"/>
      <c r="K25" s="159"/>
    </row>
    <row r="26" spans="1:11" ht="15">
      <c r="E26" s="238" t="s">
        <v>77</v>
      </c>
      <c r="F26" s="238" t="s">
        <v>316</v>
      </c>
      <c r="G26" s="239">
        <v>566.26599999999996</v>
      </c>
      <c r="H26" s="159"/>
      <c r="I26" s="159"/>
      <c r="J26" s="159"/>
      <c r="K26" s="159"/>
    </row>
    <row r="27" spans="1:11" ht="15">
      <c r="E27" s="238" t="s">
        <v>77</v>
      </c>
      <c r="F27" s="238" t="s">
        <v>545</v>
      </c>
      <c r="G27" s="240">
        <v>3.3</v>
      </c>
      <c r="H27" s="159"/>
      <c r="I27" s="159"/>
      <c r="J27" s="159"/>
      <c r="K27" s="159"/>
    </row>
    <row r="28" spans="1:11" ht="15">
      <c r="A28" s="58"/>
      <c r="E28" s="238" t="s">
        <v>79</v>
      </c>
      <c r="F28" s="238" t="s">
        <v>316</v>
      </c>
      <c r="G28" s="239">
        <v>269.60399999999998</v>
      </c>
      <c r="H28" s="159"/>
      <c r="I28" s="159"/>
      <c r="J28" s="159"/>
      <c r="K28" s="159"/>
    </row>
    <row r="29" spans="1:11" ht="15">
      <c r="B29" s="83"/>
      <c r="E29" s="238" t="s">
        <v>79</v>
      </c>
      <c r="F29" s="238" t="s">
        <v>545</v>
      </c>
      <c r="G29" s="240">
        <v>-1.1000000000000001</v>
      </c>
      <c r="H29" s="159"/>
      <c r="I29" s="159"/>
      <c r="J29" s="159"/>
      <c r="K29" s="159"/>
    </row>
    <row r="30" spans="1:11" ht="15">
      <c r="B30" s="83"/>
      <c r="E30" s="89"/>
      <c r="F30" s="89"/>
      <c r="G30" s="90"/>
      <c r="H30" s="159"/>
      <c r="I30" s="159"/>
      <c r="J30" s="159"/>
      <c r="K30" s="159"/>
    </row>
    <row r="31" spans="1:11">
      <c r="E31" s="160"/>
      <c r="F31" s="160"/>
      <c r="G31" s="161"/>
    </row>
    <row r="32" spans="1:11">
      <c r="E32" s="116"/>
      <c r="F32" s="83"/>
    </row>
    <row r="33" spans="5:11" hidden="1">
      <c r="E33" s="91"/>
      <c r="F33" s="83"/>
      <c r="I33" s="160"/>
      <c r="J33" s="160"/>
      <c r="K33" s="192"/>
    </row>
    <row r="34" spans="5:11">
      <c r="E34" s="91"/>
      <c r="F34" s="83"/>
      <c r="I34" s="160"/>
      <c r="J34" s="160"/>
      <c r="K34" s="191"/>
    </row>
    <row r="35" spans="5:11">
      <c r="I35" s="160"/>
      <c r="J35" s="160"/>
      <c r="K35" s="191"/>
    </row>
    <row r="36" spans="5:11">
      <c r="I36" s="83"/>
    </row>
    <row r="37" spans="5:11">
      <c r="I37" s="83"/>
    </row>
    <row r="38" spans="5:11">
      <c r="I38" s="83"/>
    </row>
    <row r="39" spans="5:11">
      <c r="I39" s="83"/>
    </row>
    <row r="40" spans="5:11">
      <c r="I40" s="83"/>
    </row>
    <row r="41" spans="5:11">
      <c r="I41" s="83"/>
    </row>
  </sheetData>
  <mergeCells count="4">
    <mergeCell ref="I16:V16"/>
    <mergeCell ref="A5:B5"/>
    <mergeCell ref="A17:B17"/>
    <mergeCell ref="A6:B6"/>
  </mergeCells>
  <phoneticPr fontId="2" type="noConversion"/>
  <hyperlinks>
    <hyperlink ref="E4" r:id="rId1" xr:uid="{00000000-0004-0000-0300-000000000000}"/>
  </hyperlinks>
  <pageMargins left="0.75" right="0.75" top="1" bottom="1" header="0.5" footer="0.5"/>
  <pageSetup orientation="portrait"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I44"/>
  <sheetViews>
    <sheetView workbookViewId="0">
      <selection activeCell="G21" sqref="G21"/>
    </sheetView>
  </sheetViews>
  <sheetFormatPr defaultColWidth="9.140625" defaultRowHeight="12.75"/>
  <cols>
    <col min="1" max="1" width="14.140625" style="7" bestFit="1" customWidth="1"/>
    <col min="2" max="5" width="9.140625" style="7"/>
    <col min="6" max="6" width="7.28515625" style="7" bestFit="1" customWidth="1"/>
    <col min="7" max="7" width="10.7109375" style="7" bestFit="1" customWidth="1"/>
    <col min="8" max="16384" width="9.140625" style="7"/>
  </cols>
  <sheetData>
    <row r="1" spans="1:9">
      <c r="A1" s="7" t="s">
        <v>62</v>
      </c>
    </row>
    <row r="2" spans="1:9">
      <c r="E2" s="208" t="s">
        <v>557</v>
      </c>
      <c r="F2" s="295"/>
      <c r="G2" s="296">
        <v>45589</v>
      </c>
      <c r="H2" s="58"/>
    </row>
    <row r="3" spans="1:9">
      <c r="A3" s="87"/>
      <c r="E3" s="209" t="s">
        <v>257</v>
      </c>
      <c r="F3" s="297" t="s">
        <v>607</v>
      </c>
      <c r="G3" s="298"/>
    </row>
    <row r="4" spans="1:9">
      <c r="A4" s="87"/>
    </row>
    <row r="5" spans="1:9">
      <c r="A5" s="200" t="s">
        <v>164</v>
      </c>
    </row>
    <row r="6" spans="1:9">
      <c r="A6" s="93"/>
      <c r="B6" s="93" t="s">
        <v>238</v>
      </c>
      <c r="C6" s="93" t="s">
        <v>239</v>
      </c>
      <c r="F6" s="87"/>
      <c r="G6" s="87"/>
      <c r="H6" s="87"/>
    </row>
    <row r="7" spans="1:9">
      <c r="A7" s="94">
        <f>A13</f>
        <v>45170</v>
      </c>
      <c r="B7" s="93">
        <f>C13</f>
        <v>266</v>
      </c>
      <c r="C7" s="93">
        <f>G13</f>
        <v>62</v>
      </c>
    </row>
    <row r="8" spans="1:9">
      <c r="A8" s="94">
        <f>A25</f>
        <v>45560</v>
      </c>
      <c r="B8" s="93">
        <f>C25</f>
        <v>274</v>
      </c>
      <c r="C8" s="93">
        <f>G25</f>
        <v>289</v>
      </c>
    </row>
    <row r="10" spans="1:9">
      <c r="A10" s="95"/>
      <c r="B10" s="95"/>
      <c r="C10" s="95"/>
      <c r="D10" s="95"/>
      <c r="E10" s="95"/>
      <c r="F10" s="95"/>
      <c r="G10" s="95"/>
    </row>
    <row r="11" spans="1:9">
      <c r="A11" s="35" t="s">
        <v>258</v>
      </c>
      <c r="B11" s="58"/>
      <c r="C11" s="58"/>
      <c r="D11" s="58"/>
      <c r="E11" s="98" t="s">
        <v>158</v>
      </c>
      <c r="F11" s="98" t="s">
        <v>159</v>
      </c>
      <c r="G11" s="58"/>
      <c r="I11" s="98" t="s">
        <v>160</v>
      </c>
    </row>
    <row r="12" spans="1:9">
      <c r="B12" s="98" t="s">
        <v>154</v>
      </c>
      <c r="C12" s="98" t="s">
        <v>155</v>
      </c>
      <c r="D12" s="98" t="s">
        <v>156</v>
      </c>
      <c r="E12" s="98" t="s">
        <v>49</v>
      </c>
      <c r="F12" s="98" t="s">
        <v>157</v>
      </c>
      <c r="G12" s="98" t="s">
        <v>160</v>
      </c>
      <c r="I12" s="247" t="s">
        <v>154</v>
      </c>
    </row>
    <row r="13" spans="1:9">
      <c r="A13" s="87">
        <v>45170</v>
      </c>
      <c r="B13" s="7">
        <v>328</v>
      </c>
      <c r="C13" s="7">
        <v>266</v>
      </c>
      <c r="D13" s="7">
        <v>10</v>
      </c>
      <c r="E13" s="7">
        <v>11</v>
      </c>
      <c r="F13" s="7">
        <v>41</v>
      </c>
      <c r="G13" s="7">
        <v>62</v>
      </c>
      <c r="I13" s="58">
        <v>62</v>
      </c>
    </row>
    <row r="14" spans="1:9">
      <c r="A14" s="87">
        <v>45200</v>
      </c>
      <c r="B14" s="7">
        <v>410</v>
      </c>
      <c r="C14" s="7">
        <v>313</v>
      </c>
      <c r="D14" s="7">
        <v>20</v>
      </c>
      <c r="E14" s="7">
        <v>13</v>
      </c>
      <c r="F14" s="7">
        <v>64</v>
      </c>
      <c r="G14" s="7">
        <v>97</v>
      </c>
      <c r="I14" s="58">
        <v>97</v>
      </c>
    </row>
    <row r="15" spans="1:9">
      <c r="A15" s="87">
        <v>45231</v>
      </c>
      <c r="B15" s="7">
        <v>309</v>
      </c>
      <c r="C15" s="7">
        <v>223</v>
      </c>
      <c r="D15" s="7">
        <v>8</v>
      </c>
      <c r="E15" s="7">
        <v>3</v>
      </c>
      <c r="F15" s="7">
        <v>75</v>
      </c>
      <c r="G15" s="7">
        <v>86</v>
      </c>
      <c r="I15" s="58">
        <v>86</v>
      </c>
    </row>
    <row r="16" spans="1:9">
      <c r="A16" s="87">
        <v>45261</v>
      </c>
      <c r="B16" s="7">
        <v>215</v>
      </c>
      <c r="C16" s="7">
        <v>140</v>
      </c>
      <c r="D16" s="7">
        <v>8</v>
      </c>
      <c r="E16" s="7">
        <v>0</v>
      </c>
      <c r="F16" s="7">
        <v>67</v>
      </c>
      <c r="G16" s="7">
        <v>75</v>
      </c>
      <c r="I16" s="58">
        <v>75</v>
      </c>
    </row>
    <row r="17" spans="1:9">
      <c r="A17" s="87">
        <v>45292</v>
      </c>
      <c r="B17" s="7">
        <v>249</v>
      </c>
      <c r="C17" s="7">
        <v>185</v>
      </c>
      <c r="D17" s="7">
        <v>6</v>
      </c>
      <c r="E17" s="7">
        <v>8</v>
      </c>
      <c r="F17" s="7">
        <v>50</v>
      </c>
      <c r="G17" s="7">
        <v>64</v>
      </c>
      <c r="I17" s="58">
        <v>64</v>
      </c>
    </row>
    <row r="18" spans="1:9">
      <c r="A18" s="87">
        <v>45323</v>
      </c>
      <c r="B18" s="7">
        <v>286</v>
      </c>
      <c r="C18" s="7">
        <v>188</v>
      </c>
      <c r="D18" s="7">
        <v>6</v>
      </c>
      <c r="E18" s="7">
        <v>3</v>
      </c>
      <c r="F18" s="7">
        <v>89</v>
      </c>
      <c r="G18" s="7">
        <v>98</v>
      </c>
      <c r="I18" s="58">
        <v>98</v>
      </c>
    </row>
    <row r="19" spans="1:9">
      <c r="A19" s="87">
        <v>45375</v>
      </c>
      <c r="B19" s="7">
        <v>431</v>
      </c>
      <c r="C19" s="7">
        <v>221</v>
      </c>
      <c r="D19" s="7">
        <v>6</v>
      </c>
      <c r="E19" s="7">
        <v>15</v>
      </c>
      <c r="F19" s="7">
        <v>189</v>
      </c>
      <c r="G19" s="7">
        <v>210</v>
      </c>
      <c r="I19" s="58">
        <v>210</v>
      </c>
    </row>
    <row r="20" spans="1:9">
      <c r="A20" s="87">
        <v>45406</v>
      </c>
      <c r="B20" s="7">
        <v>386</v>
      </c>
      <c r="C20" s="7">
        <v>289</v>
      </c>
      <c r="D20" s="7">
        <v>24</v>
      </c>
      <c r="E20" s="7">
        <v>19</v>
      </c>
      <c r="F20" s="7">
        <v>54</v>
      </c>
      <c r="G20" s="7">
        <v>97</v>
      </c>
      <c r="I20" s="58">
        <v>97</v>
      </c>
    </row>
    <row r="21" spans="1:9">
      <c r="A21" s="87">
        <v>45436</v>
      </c>
      <c r="B21" s="7">
        <v>462</v>
      </c>
      <c r="C21" s="7">
        <v>284</v>
      </c>
      <c r="D21" s="7">
        <v>42</v>
      </c>
      <c r="E21" s="7">
        <v>9</v>
      </c>
      <c r="F21" s="7">
        <v>127</v>
      </c>
      <c r="G21" s="7">
        <v>178</v>
      </c>
      <c r="I21" s="58">
        <v>178</v>
      </c>
    </row>
    <row r="22" spans="1:9">
      <c r="A22" s="87">
        <v>45467</v>
      </c>
      <c r="B22" s="7">
        <v>407</v>
      </c>
      <c r="C22" s="7">
        <v>278</v>
      </c>
      <c r="D22" s="7">
        <v>14</v>
      </c>
      <c r="E22" s="7">
        <v>10</v>
      </c>
      <c r="F22" s="7">
        <v>105</v>
      </c>
      <c r="G22" s="7">
        <v>129</v>
      </c>
      <c r="I22" s="58">
        <v>129</v>
      </c>
    </row>
    <row r="23" spans="1:9" ht="12.75" customHeight="1">
      <c r="A23" s="87">
        <v>45497</v>
      </c>
      <c r="B23" s="7">
        <v>536</v>
      </c>
      <c r="C23" s="7">
        <v>262</v>
      </c>
      <c r="D23" s="7">
        <v>14</v>
      </c>
      <c r="E23" s="7">
        <v>13</v>
      </c>
      <c r="F23" s="7">
        <v>247</v>
      </c>
      <c r="G23" s="7">
        <v>274</v>
      </c>
      <c r="I23" s="58">
        <v>274</v>
      </c>
    </row>
    <row r="24" spans="1:9" ht="12.75" customHeight="1">
      <c r="A24" s="87">
        <v>45529</v>
      </c>
      <c r="B24" s="7">
        <v>546</v>
      </c>
      <c r="C24" s="7">
        <v>295</v>
      </c>
      <c r="D24" s="7">
        <v>22</v>
      </c>
      <c r="E24" s="7">
        <v>62</v>
      </c>
      <c r="F24" s="7">
        <v>167</v>
      </c>
      <c r="G24" s="7">
        <v>251</v>
      </c>
      <c r="I24" s="58">
        <f>SUM(D24:F24)</f>
        <v>251</v>
      </c>
    </row>
    <row r="25" spans="1:9">
      <c r="A25" s="87">
        <v>45560</v>
      </c>
      <c r="B25" s="7">
        <v>563</v>
      </c>
      <c r="C25" s="7">
        <v>274</v>
      </c>
      <c r="D25" s="7">
        <v>24</v>
      </c>
      <c r="E25" s="7">
        <v>20</v>
      </c>
      <c r="F25" s="7">
        <v>245</v>
      </c>
      <c r="G25" s="7">
        <v>289</v>
      </c>
      <c r="I25" s="58">
        <f>SUM(D25:F25)</f>
        <v>289</v>
      </c>
    </row>
    <row r="27" spans="1:9">
      <c r="A27" s="104"/>
    </row>
    <row r="29" spans="1:9">
      <c r="A29" s="87"/>
      <c r="B29" s="185"/>
    </row>
    <row r="30" spans="1:9">
      <c r="A30" s="87"/>
    </row>
    <row r="31" spans="1:9">
      <c r="A31" s="87"/>
      <c r="B31" s="104"/>
      <c r="C31" s="104"/>
    </row>
    <row r="32" spans="1:9" hidden="1">
      <c r="C32" s="104"/>
      <c r="D32" s="87"/>
    </row>
    <row r="33" spans="3:4">
      <c r="C33" s="104"/>
      <c r="D33" s="87"/>
    </row>
    <row r="34" spans="3:4">
      <c r="C34" s="104"/>
      <c r="D34" s="87"/>
    </row>
    <row r="35" spans="3:4">
      <c r="C35" s="104"/>
      <c r="D35" s="87"/>
    </row>
    <row r="36" spans="3:4">
      <c r="C36" s="104"/>
      <c r="D36" s="87"/>
    </row>
    <row r="37" spans="3:4">
      <c r="C37" s="104"/>
      <c r="D37" s="87"/>
    </row>
    <row r="38" spans="3:4">
      <c r="C38" s="104"/>
      <c r="D38" s="87"/>
    </row>
    <row r="39" spans="3:4">
      <c r="C39" s="104"/>
      <c r="D39" s="87"/>
    </row>
    <row r="40" spans="3:4">
      <c r="C40" s="104"/>
      <c r="D40" s="87"/>
    </row>
    <row r="41" spans="3:4">
      <c r="C41" s="104"/>
      <c r="D41" s="87"/>
    </row>
    <row r="42" spans="3:4">
      <c r="C42" s="104"/>
      <c r="D42" s="87"/>
    </row>
    <row r="43" spans="3:4">
      <c r="C43" s="104"/>
      <c r="D43" s="87"/>
    </row>
    <row r="44" spans="3:4">
      <c r="C44" s="104"/>
      <c r="D44" s="87"/>
    </row>
  </sheetData>
  <phoneticPr fontId="2" type="noConversion"/>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2:V33"/>
  <sheetViews>
    <sheetView workbookViewId="0">
      <selection activeCell="G21" sqref="G21"/>
    </sheetView>
  </sheetViews>
  <sheetFormatPr defaultRowHeight="12.75"/>
  <cols>
    <col min="1" max="1" width="10.5703125" customWidth="1"/>
    <col min="2" max="2" width="11.42578125" customWidth="1"/>
    <col min="3" max="3" width="11.7109375" customWidth="1"/>
    <col min="4" max="4" width="7.5703125" bestFit="1" customWidth="1"/>
    <col min="5" max="5" width="6.5703125" bestFit="1" customWidth="1"/>
    <col min="6" max="6" width="7.140625" bestFit="1" customWidth="1"/>
    <col min="7" max="7" width="6.5703125" bestFit="1" customWidth="1"/>
    <col min="8" max="8" width="8.42578125" customWidth="1"/>
    <col min="9" max="10" width="6.85546875" bestFit="1" customWidth="1"/>
    <col min="11" max="12" width="6.5703125" bestFit="1" customWidth="1"/>
    <col min="13" max="13" width="6.85546875" bestFit="1" customWidth="1"/>
    <col min="14" max="14" width="6.5703125" bestFit="1" customWidth="1"/>
  </cols>
  <sheetData>
    <row r="2" spans="1:22">
      <c r="A2" s="208" t="s">
        <v>558</v>
      </c>
      <c r="B2" s="299"/>
      <c r="C2" s="300">
        <v>45581</v>
      </c>
    </row>
    <row r="3" spans="1:22">
      <c r="A3" s="209" t="s">
        <v>559</v>
      </c>
      <c r="B3" s="301"/>
      <c r="C3" s="302" t="s">
        <v>608</v>
      </c>
      <c r="E3" s="3"/>
      <c r="F3" s="3"/>
      <c r="G3" s="3"/>
      <c r="H3" s="3"/>
      <c r="I3" s="3"/>
      <c r="J3" s="3"/>
      <c r="K3" s="3"/>
      <c r="L3" s="3"/>
      <c r="M3" s="3"/>
      <c r="N3" s="3"/>
    </row>
    <row r="4" spans="1:22">
      <c r="A4" s="7"/>
      <c r="B4" s="7"/>
      <c r="C4" s="7"/>
    </row>
    <row r="5" spans="1:22" ht="15">
      <c r="A5" s="291"/>
      <c r="B5" s="14"/>
      <c r="C5" s="14"/>
      <c r="D5" s="2"/>
      <c r="E5" s="2"/>
      <c r="F5" s="2"/>
      <c r="G5" s="2"/>
      <c r="H5" s="2"/>
      <c r="I5" s="2"/>
      <c r="J5" s="2"/>
      <c r="K5" s="2"/>
      <c r="L5" s="2"/>
      <c r="N5" s="2"/>
    </row>
    <row r="6" spans="1:22">
      <c r="A6" s="7"/>
      <c r="B6" s="14"/>
      <c r="C6" s="14"/>
      <c r="D6" s="2"/>
      <c r="E6" s="2"/>
      <c r="F6" s="2"/>
      <c r="G6" s="2"/>
      <c r="H6" s="2"/>
      <c r="I6" s="2"/>
      <c r="J6" s="2"/>
      <c r="K6" s="2"/>
      <c r="L6" s="2"/>
      <c r="M6" s="2"/>
      <c r="N6" s="2"/>
    </row>
    <row r="7" spans="1:22" ht="45">
      <c r="A7" s="205"/>
      <c r="B7" s="217" t="s">
        <v>144</v>
      </c>
      <c r="C7" s="217" t="s">
        <v>145</v>
      </c>
    </row>
    <row r="8" spans="1:22" ht="15">
      <c r="A8" s="212">
        <v>45170</v>
      </c>
      <c r="B8" s="211">
        <v>1429</v>
      </c>
      <c r="C8" s="211">
        <v>9899</v>
      </c>
      <c r="F8" s="158"/>
      <c r="Q8" s="330"/>
      <c r="R8" s="2"/>
      <c r="U8" s="330"/>
      <c r="V8" s="2"/>
    </row>
    <row r="9" spans="1:22" ht="15">
      <c r="A9" s="212">
        <v>45200</v>
      </c>
      <c r="B9" s="211">
        <v>1605</v>
      </c>
      <c r="C9" s="211">
        <v>11277</v>
      </c>
      <c r="Q9" s="330"/>
      <c r="R9" s="2"/>
      <c r="U9" s="330"/>
      <c r="V9" s="2"/>
    </row>
    <row r="10" spans="1:22" ht="15">
      <c r="A10" s="212">
        <v>45231</v>
      </c>
      <c r="B10" s="211">
        <v>1853</v>
      </c>
      <c r="C10" s="211">
        <v>11150</v>
      </c>
      <c r="F10" s="158"/>
      <c r="N10" s="211"/>
      <c r="O10" s="211"/>
      <c r="Q10" s="330"/>
      <c r="R10" s="2"/>
      <c r="U10" s="330"/>
      <c r="V10" s="2"/>
    </row>
    <row r="11" spans="1:22" ht="15">
      <c r="A11" s="212">
        <v>45261</v>
      </c>
      <c r="B11" s="211">
        <v>2505</v>
      </c>
      <c r="C11" s="211">
        <v>12049</v>
      </c>
      <c r="F11" s="158"/>
      <c r="H11" s="158"/>
      <c r="N11" s="211"/>
      <c r="O11" s="211"/>
      <c r="Q11" s="330"/>
      <c r="R11" s="2"/>
      <c r="U11" s="330"/>
      <c r="V11" s="2"/>
    </row>
    <row r="12" spans="1:22" ht="15">
      <c r="A12" s="212">
        <v>45292</v>
      </c>
      <c r="B12" s="211">
        <v>2471</v>
      </c>
      <c r="C12" s="211">
        <v>15796</v>
      </c>
      <c r="F12" s="158"/>
      <c r="H12" s="158"/>
      <c r="N12" s="211"/>
      <c r="O12" s="211"/>
      <c r="Q12" s="330"/>
      <c r="R12" s="2"/>
      <c r="U12" s="330"/>
      <c r="V12" s="2"/>
    </row>
    <row r="13" spans="1:22" ht="15">
      <c r="A13" s="212">
        <v>45323</v>
      </c>
      <c r="B13" s="211">
        <v>2398</v>
      </c>
      <c r="C13" s="211">
        <v>14798</v>
      </c>
      <c r="F13" s="158"/>
      <c r="H13" s="158"/>
      <c r="N13" s="211"/>
      <c r="O13" s="211"/>
      <c r="Q13" s="330"/>
      <c r="R13" s="2"/>
      <c r="U13" s="330"/>
      <c r="V13" s="2"/>
    </row>
    <row r="14" spans="1:22" ht="15">
      <c r="A14" s="212">
        <v>45352</v>
      </c>
      <c r="B14" s="211">
        <v>1906</v>
      </c>
      <c r="C14" s="211">
        <v>15218</v>
      </c>
      <c r="F14" s="158"/>
      <c r="H14" s="158"/>
      <c r="N14" s="211"/>
      <c r="O14" s="211"/>
      <c r="Q14" s="330"/>
      <c r="R14" s="2"/>
      <c r="U14" s="330"/>
      <c r="V14" s="2"/>
    </row>
    <row r="15" spans="1:22" ht="15">
      <c r="A15" s="212">
        <v>45383</v>
      </c>
      <c r="B15" s="211">
        <v>2188</v>
      </c>
      <c r="C15" s="211">
        <v>14347</v>
      </c>
      <c r="F15" s="158"/>
      <c r="H15" s="158"/>
      <c r="N15" s="211"/>
      <c r="O15" s="211"/>
      <c r="Q15" s="330"/>
      <c r="R15" s="2"/>
      <c r="U15" s="330"/>
      <c r="V15" s="2"/>
    </row>
    <row r="16" spans="1:22" ht="15">
      <c r="A16" s="212">
        <v>45413</v>
      </c>
      <c r="B16" s="211">
        <v>1572</v>
      </c>
      <c r="C16" s="211">
        <v>12061</v>
      </c>
      <c r="F16" s="158"/>
      <c r="H16" s="158"/>
      <c r="N16" s="211"/>
      <c r="O16" s="211"/>
      <c r="Q16" s="330"/>
      <c r="R16" s="2"/>
      <c r="U16" s="330"/>
      <c r="V16" s="2"/>
    </row>
    <row r="17" spans="1:22" ht="15">
      <c r="A17" s="212">
        <v>45444</v>
      </c>
      <c r="B17" s="211">
        <v>2133</v>
      </c>
      <c r="C17" s="211">
        <v>11606</v>
      </c>
      <c r="F17" s="158"/>
      <c r="H17" s="158"/>
      <c r="N17" s="211"/>
      <c r="O17" s="211"/>
      <c r="Q17" s="330"/>
      <c r="R17" s="2"/>
      <c r="U17" s="330"/>
      <c r="V17" s="2"/>
    </row>
    <row r="18" spans="1:22" ht="15">
      <c r="A18" s="212">
        <v>45474</v>
      </c>
      <c r="B18" s="211">
        <v>1445</v>
      </c>
      <c r="C18" s="211">
        <v>14786</v>
      </c>
      <c r="F18" s="158"/>
      <c r="H18" s="158"/>
      <c r="N18" s="211"/>
      <c r="O18" s="211"/>
      <c r="Q18" s="330"/>
      <c r="R18" s="2"/>
      <c r="U18" s="330"/>
      <c r="V18" s="2"/>
    </row>
    <row r="19" spans="1:22" ht="15">
      <c r="A19" s="212">
        <v>45505</v>
      </c>
      <c r="B19" s="211">
        <v>1965</v>
      </c>
      <c r="C19" s="211">
        <v>14861</v>
      </c>
      <c r="F19" s="158"/>
      <c r="H19" s="158"/>
      <c r="N19" s="211"/>
      <c r="O19" s="211"/>
      <c r="Q19" s="330"/>
      <c r="R19" s="2"/>
      <c r="U19" s="330"/>
      <c r="V19" s="2"/>
    </row>
    <row r="20" spans="1:22" ht="15">
      <c r="A20" s="212">
        <v>45536</v>
      </c>
      <c r="B20" s="211">
        <v>1454</v>
      </c>
      <c r="C20" s="211">
        <v>13068</v>
      </c>
      <c r="F20" s="158"/>
      <c r="H20" s="158"/>
      <c r="N20" s="211"/>
      <c r="O20" s="211"/>
      <c r="Q20" s="331"/>
      <c r="R20" s="2"/>
      <c r="U20" s="331"/>
      <c r="V20" s="2"/>
    </row>
    <row r="21" spans="1:22" ht="15">
      <c r="N21" s="211"/>
      <c r="O21" s="211"/>
    </row>
    <row r="22" spans="1:22">
      <c r="H22" s="158"/>
    </row>
    <row r="23" spans="1:22">
      <c r="H23" s="158"/>
    </row>
    <row r="33" hidden="1"/>
  </sheetData>
  <sortState xmlns:xlrd2="http://schemas.microsoft.com/office/spreadsheetml/2017/richdata2" ref="O9:O20">
    <sortCondition ref="O9:O20"/>
  </sortState>
  <phoneticPr fontId="2"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S114"/>
  <sheetViews>
    <sheetView zoomScaleNormal="100" workbookViewId="0">
      <selection activeCell="G21" sqref="G21"/>
    </sheetView>
  </sheetViews>
  <sheetFormatPr defaultColWidth="9.140625" defaultRowHeight="12.75"/>
  <cols>
    <col min="1" max="1" width="20.5703125" style="7" bestFit="1" customWidth="1"/>
    <col min="2" max="2" width="15.7109375" style="47" customWidth="1"/>
    <col min="3" max="3" width="11.140625" style="47" customWidth="1"/>
    <col min="4" max="4" width="13.42578125" style="47" customWidth="1"/>
    <col min="5" max="5" width="10.85546875" style="47" customWidth="1"/>
    <col min="6" max="6" width="10" style="47" customWidth="1"/>
    <col min="7" max="7" width="11.140625" style="47" customWidth="1"/>
    <col min="8" max="8" width="8" style="47" customWidth="1"/>
    <col min="9" max="9" width="7.28515625" style="47" customWidth="1"/>
    <col min="10" max="11" width="9.140625" style="7"/>
    <col min="12" max="12" width="12.140625" style="7" customWidth="1"/>
    <col min="13" max="15" width="9.140625" style="7"/>
    <col min="16" max="17" width="10.7109375" style="7" bestFit="1" customWidth="1"/>
    <col min="18" max="16384" width="9.140625" style="7"/>
  </cols>
  <sheetData>
    <row r="1" spans="1:18">
      <c r="A1" s="244" t="s">
        <v>560</v>
      </c>
      <c r="B1" s="47" t="s">
        <v>180</v>
      </c>
      <c r="C1" s="47" t="s">
        <v>182</v>
      </c>
      <c r="D1" s="47" t="s">
        <v>183</v>
      </c>
      <c r="E1" s="47" t="s">
        <v>177</v>
      </c>
      <c r="F1" s="47" t="s">
        <v>178</v>
      </c>
      <c r="G1" s="47" t="s">
        <v>179</v>
      </c>
      <c r="H1" s="47" t="s">
        <v>181</v>
      </c>
      <c r="I1" s="140"/>
      <c r="L1" s="106">
        <v>1</v>
      </c>
      <c r="P1" s="106">
        <v>1</v>
      </c>
      <c r="Q1" s="106"/>
      <c r="R1" s="106"/>
    </row>
    <row r="2" spans="1:18">
      <c r="A2" s="7" t="s">
        <v>184</v>
      </c>
      <c r="B2" s="47">
        <v>12.7</v>
      </c>
      <c r="C2" s="47">
        <v>19.5</v>
      </c>
      <c r="D2" s="47">
        <v>9.4</v>
      </c>
      <c r="E2" s="47">
        <v>6.5</v>
      </c>
      <c r="F2" s="47">
        <v>5.5</v>
      </c>
      <c r="G2" s="47">
        <v>6.5</v>
      </c>
      <c r="H2" s="47">
        <v>2.1</v>
      </c>
      <c r="L2" s="139" t="s">
        <v>184</v>
      </c>
      <c r="P2" s="106" t="s">
        <v>185</v>
      </c>
      <c r="Q2" s="106"/>
      <c r="R2" s="106"/>
    </row>
    <row r="3" spans="1:18">
      <c r="A3" s="7" t="s">
        <v>186</v>
      </c>
      <c r="B3" s="47">
        <v>4.5</v>
      </c>
      <c r="C3" s="47">
        <v>8.8000000000000007</v>
      </c>
      <c r="D3" s="47">
        <v>0.7</v>
      </c>
      <c r="E3" s="47">
        <v>0.4</v>
      </c>
      <c r="F3" s="47">
        <v>0.3</v>
      </c>
      <c r="G3" s="47">
        <v>0</v>
      </c>
      <c r="H3" s="47">
        <v>0</v>
      </c>
      <c r="L3" s="139" t="s">
        <v>186</v>
      </c>
      <c r="P3" s="106" t="s">
        <v>182</v>
      </c>
      <c r="Q3" s="106"/>
      <c r="R3" s="106"/>
    </row>
    <row r="4" spans="1:18">
      <c r="A4" s="7" t="s">
        <v>187</v>
      </c>
      <c r="B4" s="47">
        <v>13.5</v>
      </c>
      <c r="C4" s="47">
        <v>20</v>
      </c>
      <c r="D4" s="47">
        <v>8.6</v>
      </c>
      <c r="E4" s="47">
        <v>6.1</v>
      </c>
      <c r="F4" s="47">
        <v>5.2</v>
      </c>
      <c r="G4" s="47">
        <v>6.5</v>
      </c>
      <c r="H4" s="47">
        <v>2.1</v>
      </c>
      <c r="L4" s="139" t="s">
        <v>187</v>
      </c>
      <c r="P4" s="106" t="s">
        <v>183</v>
      </c>
      <c r="Q4" s="106"/>
      <c r="R4" s="106"/>
    </row>
    <row r="5" spans="1:18">
      <c r="A5" s="7" t="s">
        <v>188</v>
      </c>
      <c r="B5" s="47">
        <v>19</v>
      </c>
      <c r="C5" s="47">
        <v>23.7</v>
      </c>
      <c r="D5" s="47">
        <v>6</v>
      </c>
      <c r="E5" s="47">
        <v>1.9</v>
      </c>
      <c r="F5" s="47">
        <v>3.9</v>
      </c>
      <c r="G5" s="47">
        <v>4.5</v>
      </c>
      <c r="H5" s="47">
        <v>2.1</v>
      </c>
      <c r="L5" s="139" t="s">
        <v>188</v>
      </c>
      <c r="P5" s="106" t="s">
        <v>177</v>
      </c>
      <c r="Q5" s="106"/>
      <c r="R5" s="106"/>
    </row>
    <row r="6" spans="1:18">
      <c r="A6" s="7" t="s">
        <v>189</v>
      </c>
      <c r="B6" s="47">
        <v>8.6999999999999993</v>
      </c>
      <c r="C6" s="47">
        <v>12.8</v>
      </c>
      <c r="D6" s="47">
        <v>3.3</v>
      </c>
      <c r="E6" s="47">
        <v>4.5999999999999996</v>
      </c>
      <c r="F6" s="47">
        <v>1.7</v>
      </c>
      <c r="G6" s="47">
        <v>2</v>
      </c>
      <c r="H6" s="47">
        <v>0</v>
      </c>
      <c r="L6" s="139" t="s">
        <v>189</v>
      </c>
      <c r="P6" s="106" t="s">
        <v>178</v>
      </c>
      <c r="Q6" s="106"/>
      <c r="R6" s="106"/>
    </row>
    <row r="7" spans="1:18">
      <c r="A7" s="244" t="s">
        <v>561</v>
      </c>
      <c r="B7" s="47" t="s">
        <v>180</v>
      </c>
      <c r="C7" s="47" t="s">
        <v>182</v>
      </c>
      <c r="D7" s="47" t="s">
        <v>183</v>
      </c>
      <c r="E7" s="47" t="s">
        <v>177</v>
      </c>
      <c r="F7" s="47" t="s">
        <v>178</v>
      </c>
      <c r="G7" s="47" t="s">
        <v>179</v>
      </c>
      <c r="H7" s="47" t="s">
        <v>181</v>
      </c>
      <c r="I7" s="140"/>
      <c r="P7" s="106" t="s">
        <v>179</v>
      </c>
      <c r="Q7" s="106"/>
      <c r="R7" s="106"/>
    </row>
    <row r="8" spans="1:18">
      <c r="A8" s="7" t="s">
        <v>184</v>
      </c>
      <c r="B8" s="47">
        <v>13.4</v>
      </c>
      <c r="C8" s="47">
        <v>24.4</v>
      </c>
      <c r="D8" s="47">
        <v>5.8</v>
      </c>
      <c r="E8" s="47">
        <v>13.6</v>
      </c>
      <c r="F8" s="47">
        <v>4.7</v>
      </c>
      <c r="G8" s="47">
        <v>4.4000000000000004</v>
      </c>
      <c r="H8" s="47">
        <v>5.8</v>
      </c>
      <c r="P8" s="106" t="s">
        <v>181</v>
      </c>
      <c r="Q8" s="106"/>
      <c r="R8" s="106"/>
    </row>
    <row r="9" spans="1:18">
      <c r="A9" s="7" t="s">
        <v>186</v>
      </c>
      <c r="B9" s="47">
        <v>49.3</v>
      </c>
      <c r="C9" s="47">
        <v>32.299999999999997</v>
      </c>
      <c r="D9" s="47">
        <v>0.9</v>
      </c>
      <c r="E9" s="47">
        <v>0</v>
      </c>
      <c r="F9" s="47">
        <v>0</v>
      </c>
      <c r="G9" s="47">
        <v>0</v>
      </c>
      <c r="H9" s="47">
        <v>1.4</v>
      </c>
    </row>
    <row r="10" spans="1:18">
      <c r="A10" s="7" t="s">
        <v>187</v>
      </c>
      <c r="B10" s="47">
        <v>13.2</v>
      </c>
      <c r="C10" s="47">
        <v>23.9</v>
      </c>
      <c r="D10" s="47">
        <v>4.9000000000000004</v>
      </c>
      <c r="E10" s="47">
        <v>13.6</v>
      </c>
      <c r="F10" s="47">
        <v>4.7</v>
      </c>
      <c r="G10" s="47">
        <v>4.4000000000000004</v>
      </c>
      <c r="H10" s="47">
        <v>4.4000000000000004</v>
      </c>
    </row>
    <row r="11" spans="1:18">
      <c r="A11" s="7" t="s">
        <v>188</v>
      </c>
      <c r="B11" s="47">
        <v>13.5</v>
      </c>
      <c r="C11" s="47">
        <v>22.3</v>
      </c>
      <c r="D11" s="47">
        <v>3.5</v>
      </c>
      <c r="E11" s="47">
        <v>10.5</v>
      </c>
      <c r="F11" s="47">
        <v>4.7</v>
      </c>
      <c r="G11" s="47">
        <v>2.6</v>
      </c>
      <c r="H11" s="47">
        <v>3.7</v>
      </c>
      <c r="M11" s="7" t="s">
        <v>190</v>
      </c>
    </row>
    <row r="12" spans="1:18">
      <c r="A12" s="7" t="s">
        <v>189</v>
      </c>
      <c r="B12" s="47">
        <v>12.9</v>
      </c>
      <c r="C12" s="47">
        <v>30.1</v>
      </c>
      <c r="D12" s="47">
        <v>2.2999999999999998</v>
      </c>
      <c r="E12" s="47">
        <v>3.2</v>
      </c>
      <c r="F12" s="47">
        <v>0</v>
      </c>
      <c r="G12" s="47">
        <v>1.8</v>
      </c>
      <c r="H12" s="47">
        <v>2.1</v>
      </c>
      <c r="L12" s="106" t="str">
        <f>Duration!A1</f>
        <v>2020 Q4</v>
      </c>
      <c r="M12" s="139">
        <f ca="1">OFFSET(Duration!A1,Duration!$L$1,Duration!$P$1)</f>
        <v>12.7</v>
      </c>
    </row>
    <row r="13" spans="1:18">
      <c r="A13" s="244" t="s">
        <v>564</v>
      </c>
      <c r="B13" s="47" t="s">
        <v>180</v>
      </c>
      <c r="C13" s="47" t="s">
        <v>182</v>
      </c>
      <c r="D13" s="47" t="s">
        <v>183</v>
      </c>
      <c r="E13" s="47" t="s">
        <v>177</v>
      </c>
      <c r="F13" s="47" t="s">
        <v>178</v>
      </c>
      <c r="G13" s="47" t="s">
        <v>179</v>
      </c>
      <c r="H13" s="47" t="s">
        <v>181</v>
      </c>
      <c r="I13" s="140"/>
      <c r="L13" s="106" t="str">
        <f>Duration!A7</f>
        <v>2021 Q1</v>
      </c>
      <c r="M13" s="139">
        <f ca="1">OFFSET(Duration!A7,Duration!$L$1,Duration!$P$1)</f>
        <v>13.4</v>
      </c>
    </row>
    <row r="14" spans="1:18">
      <c r="A14" s="7" t="s">
        <v>184</v>
      </c>
      <c r="B14" s="47">
        <v>17.2</v>
      </c>
      <c r="C14" s="47">
        <v>26.9</v>
      </c>
      <c r="D14" s="47">
        <v>7.3</v>
      </c>
      <c r="E14" s="47">
        <v>5</v>
      </c>
      <c r="F14" s="47">
        <v>5.6</v>
      </c>
      <c r="G14" s="47">
        <v>2.2999999999999998</v>
      </c>
      <c r="H14" s="47">
        <v>7.2</v>
      </c>
      <c r="L14" s="106" t="str">
        <f>Duration!A13</f>
        <v>2021 Q2</v>
      </c>
      <c r="M14" s="139">
        <f ca="1">OFFSET(Duration!A13,Duration!$L$1,Duration!$P$1)</f>
        <v>17.2</v>
      </c>
      <c r="O14" s="391" t="s">
        <v>555</v>
      </c>
      <c r="P14" s="391"/>
      <c r="Q14" s="391"/>
    </row>
    <row r="15" spans="1:18">
      <c r="A15" s="7" t="s">
        <v>186</v>
      </c>
      <c r="B15" s="47">
        <v>3.7</v>
      </c>
      <c r="C15" s="47">
        <v>5</v>
      </c>
      <c r="D15" s="47">
        <v>1.1000000000000001</v>
      </c>
      <c r="E15" s="47">
        <v>0.5</v>
      </c>
      <c r="F15" s="47">
        <v>0</v>
      </c>
      <c r="G15" s="47">
        <v>0</v>
      </c>
      <c r="H15" s="47">
        <v>1.4</v>
      </c>
      <c r="L15" s="106" t="str">
        <f>Duration!A19</f>
        <v>2021 Q3</v>
      </c>
      <c r="M15" s="139">
        <f ca="1">OFFSET(Duration!A19,Duration!$L$1,Duration!$P$1)</f>
        <v>8.1</v>
      </c>
      <c r="O15" s="391" t="s">
        <v>249</v>
      </c>
      <c r="P15" s="391"/>
      <c r="Q15" s="391"/>
    </row>
    <row r="16" spans="1:18">
      <c r="A16" s="7" t="s">
        <v>187</v>
      </c>
      <c r="B16" s="47">
        <v>18.899999999999999</v>
      </c>
      <c r="C16" s="47">
        <v>28.3</v>
      </c>
      <c r="D16" s="47">
        <v>6.2</v>
      </c>
      <c r="E16" s="47">
        <v>4.4000000000000004</v>
      </c>
      <c r="F16" s="47">
        <v>5.6</v>
      </c>
      <c r="G16" s="47">
        <v>2.2999999999999998</v>
      </c>
      <c r="H16" s="47">
        <v>7.2</v>
      </c>
      <c r="L16" s="106" t="str">
        <f>Duration!A25</f>
        <v>2021 Q4</v>
      </c>
      <c r="M16" s="139">
        <f ca="1">OFFSET(Duration!A25,Duration!$L$1,Duration!$P$1)</f>
        <v>5.5</v>
      </c>
    </row>
    <row r="17" spans="1:19">
      <c r="A17" s="7" t="s">
        <v>188</v>
      </c>
      <c r="B17" s="47">
        <v>20.7</v>
      </c>
      <c r="C17" s="47">
        <v>31.3</v>
      </c>
      <c r="D17" s="47">
        <v>4.2</v>
      </c>
      <c r="E17" s="47">
        <v>2.7</v>
      </c>
      <c r="F17" s="47">
        <v>2.8</v>
      </c>
      <c r="G17" s="47">
        <v>1.7</v>
      </c>
      <c r="H17" s="47">
        <v>5.0999999999999996</v>
      </c>
      <c r="L17" s="106" t="str">
        <f>Duration!A31</f>
        <v>2022 Q1</v>
      </c>
      <c r="M17" s="139">
        <f ca="1">OFFSET(Duration!A31,Duration!$L$1,Duration!$P$1)</f>
        <v>6.9</v>
      </c>
    </row>
    <row r="18" spans="1:19">
      <c r="A18" s="7" t="s">
        <v>189</v>
      </c>
      <c r="B18" s="47">
        <v>14.8</v>
      </c>
      <c r="C18" s="47">
        <v>20.100000000000001</v>
      </c>
      <c r="D18" s="47">
        <v>3.1</v>
      </c>
      <c r="E18" s="47">
        <v>2.2000000000000002</v>
      </c>
      <c r="F18" s="47">
        <v>2.8</v>
      </c>
      <c r="G18" s="47">
        <v>0.7</v>
      </c>
      <c r="H18" s="47">
        <v>2.1</v>
      </c>
      <c r="L18" s="106" t="str">
        <f>Duration!A37</f>
        <v>2022 Q2</v>
      </c>
      <c r="M18" s="139">
        <f ca="1">OFFSET(Duration!A37,Duration!$L$1,Duration!$P$1)</f>
        <v>5.9</v>
      </c>
    </row>
    <row r="19" spans="1:19">
      <c r="A19" s="244" t="s">
        <v>565</v>
      </c>
      <c r="B19" s="47" t="s">
        <v>180</v>
      </c>
      <c r="C19" s="47" t="s">
        <v>182</v>
      </c>
      <c r="D19" s="47" t="s">
        <v>183</v>
      </c>
      <c r="E19" s="47" t="s">
        <v>177</v>
      </c>
      <c r="F19" s="47" t="s">
        <v>178</v>
      </c>
      <c r="G19" s="47" t="s">
        <v>179</v>
      </c>
      <c r="H19" s="47" t="s">
        <v>181</v>
      </c>
      <c r="I19" s="140"/>
      <c r="L19" s="106" t="str">
        <f>Duration!A43</f>
        <v>2022 Q3</v>
      </c>
      <c r="M19" s="139">
        <f ca="1">OFFSET(Duration!A43,Duration!$L$1,Duration!$P$1)</f>
        <v>4.4000000000000004</v>
      </c>
      <c r="O19" s="208" t="s">
        <v>552</v>
      </c>
      <c r="P19" s="304"/>
      <c r="Q19" s="300">
        <v>45569</v>
      </c>
    </row>
    <row r="20" spans="1:19">
      <c r="A20" s="7" t="s">
        <v>184</v>
      </c>
      <c r="B20" s="47">
        <v>8.1</v>
      </c>
      <c r="C20" s="47">
        <v>19.399999999999999</v>
      </c>
      <c r="D20" s="47">
        <v>12.4</v>
      </c>
      <c r="E20" s="47">
        <v>9.4</v>
      </c>
      <c r="F20" s="47">
        <v>0.9</v>
      </c>
      <c r="G20" s="47">
        <v>2.2000000000000002</v>
      </c>
      <c r="H20" s="47">
        <v>6.1</v>
      </c>
      <c r="L20" s="106" t="str">
        <f>Duration!A49</f>
        <v>2022 Q4</v>
      </c>
      <c r="M20" s="139">
        <f ca="1">OFFSET(Duration!A49,Duration!$L$1,Duration!$P$1)</f>
        <v>7.8</v>
      </c>
      <c r="O20" s="305" t="s">
        <v>250</v>
      </c>
      <c r="P20" s="306"/>
      <c r="Q20" s="307"/>
    </row>
    <row r="21" spans="1:19">
      <c r="A21" s="7" t="s">
        <v>186</v>
      </c>
      <c r="B21" s="47">
        <v>3.3</v>
      </c>
      <c r="C21" s="47">
        <v>5.5</v>
      </c>
      <c r="D21" s="47">
        <v>2.1</v>
      </c>
      <c r="E21" s="47">
        <v>1.2</v>
      </c>
      <c r="F21" s="47">
        <v>0</v>
      </c>
      <c r="G21" s="47">
        <v>0</v>
      </c>
      <c r="H21" s="47">
        <v>0</v>
      </c>
      <c r="L21" s="106" t="str">
        <f>Duration!A55</f>
        <v>2023 Q1</v>
      </c>
      <c r="M21" s="139">
        <f ca="1">OFFSET(Duration!A55,Duration!$L$1,Duration!$P$1)</f>
        <v>9.9</v>
      </c>
      <c r="O21" s="308"/>
      <c r="P21" s="309" t="s">
        <v>619</v>
      </c>
      <c r="Q21" s="310"/>
    </row>
    <row r="22" spans="1:19">
      <c r="A22" s="7" t="s">
        <v>187</v>
      </c>
      <c r="B22" s="47">
        <v>8.6</v>
      </c>
      <c r="C22" s="47">
        <v>21.1</v>
      </c>
      <c r="D22" s="47">
        <v>10.3</v>
      </c>
      <c r="E22" s="47">
        <v>8.1999999999999993</v>
      </c>
      <c r="F22" s="47">
        <v>0.9</v>
      </c>
      <c r="G22" s="47">
        <v>2.2000000000000002</v>
      </c>
      <c r="H22" s="47">
        <v>6.1</v>
      </c>
      <c r="L22" s="106" t="str">
        <f>Duration!A61</f>
        <v>2023 Q2</v>
      </c>
      <c r="M22" s="139">
        <f ca="1">OFFSET(Duration!A61,Duration!$L$1,Duration!$P$1)</f>
        <v>6.6</v>
      </c>
    </row>
    <row r="23" spans="1:19">
      <c r="A23" s="7" t="s">
        <v>188</v>
      </c>
      <c r="B23" s="47">
        <v>11</v>
      </c>
      <c r="C23" s="47">
        <v>23.6</v>
      </c>
      <c r="D23" s="47">
        <v>5.4</v>
      </c>
      <c r="E23" s="47">
        <v>4.7</v>
      </c>
      <c r="F23" s="47">
        <v>0.6</v>
      </c>
      <c r="G23" s="47">
        <v>2.2000000000000002</v>
      </c>
      <c r="H23" s="47">
        <v>4</v>
      </c>
      <c r="L23" s="106" t="str">
        <f>Duration!A67</f>
        <v>2023 Q3</v>
      </c>
      <c r="M23" s="139">
        <f ca="1">OFFSET(Duration!A67,Duration!$L$1,Duration!$P$1)</f>
        <v>6.9</v>
      </c>
    </row>
    <row r="24" spans="1:19">
      <c r="A24" s="7" t="s">
        <v>189</v>
      </c>
      <c r="B24" s="47">
        <v>4.5999999999999996</v>
      </c>
      <c r="C24" s="47">
        <v>14.5</v>
      </c>
      <c r="D24" s="47">
        <v>7.1</v>
      </c>
      <c r="E24" s="47">
        <v>4.7</v>
      </c>
      <c r="F24" s="47">
        <v>0.3</v>
      </c>
      <c r="G24" s="47">
        <v>0</v>
      </c>
      <c r="H24" s="47">
        <v>2.1</v>
      </c>
      <c r="L24" s="106" t="str">
        <f>Duration!A73</f>
        <v>2023 Q4</v>
      </c>
      <c r="M24" s="139">
        <f ca="1">OFFSET(Duration!A73,Duration!$L$1,Duration!$P$1)</f>
        <v>9.3000000000000007</v>
      </c>
    </row>
    <row r="25" spans="1:19">
      <c r="A25" s="244" t="s">
        <v>567</v>
      </c>
      <c r="B25" s="47" t="s">
        <v>180</v>
      </c>
      <c r="C25" s="47" t="s">
        <v>182</v>
      </c>
      <c r="D25" s="47" t="s">
        <v>183</v>
      </c>
      <c r="E25" s="47" t="s">
        <v>177</v>
      </c>
      <c r="F25" s="47" t="s">
        <v>178</v>
      </c>
      <c r="G25" s="47" t="s">
        <v>179</v>
      </c>
      <c r="H25" s="47" t="s">
        <v>181</v>
      </c>
      <c r="I25" s="140"/>
      <c r="L25" s="106" t="str">
        <f>Duration!A79</f>
        <v>2024 Q1</v>
      </c>
      <c r="M25" s="139">
        <f ca="1">OFFSET(Duration!A79,Duration!$L$1,Duration!$P$1)</f>
        <v>9.1</v>
      </c>
    </row>
    <row r="26" spans="1:19">
      <c r="A26" s="7" t="s">
        <v>184</v>
      </c>
      <c r="B26" s="47">
        <v>5.5</v>
      </c>
      <c r="C26" s="47">
        <v>23.4</v>
      </c>
      <c r="D26" s="47">
        <v>8.8000000000000007</v>
      </c>
      <c r="E26" s="47">
        <v>4.0999999999999996</v>
      </c>
      <c r="F26" s="47">
        <v>1.8</v>
      </c>
      <c r="G26" s="47">
        <v>0.7</v>
      </c>
      <c r="H26" s="47">
        <v>3.4</v>
      </c>
      <c r="L26" s="106" t="str">
        <f>Duration!A85</f>
        <v>2024 Q2</v>
      </c>
      <c r="M26" s="139">
        <f ca="1">OFFSET(Duration!A85,Duration!$L$1,Duration!$P$1)</f>
        <v>7.8</v>
      </c>
    </row>
    <row r="27" spans="1:19">
      <c r="A27" s="7" t="s">
        <v>186</v>
      </c>
      <c r="B27" s="47">
        <v>2.4</v>
      </c>
      <c r="C27" s="47">
        <v>23</v>
      </c>
      <c r="D27" s="47">
        <v>0.6</v>
      </c>
      <c r="E27" s="47">
        <v>0</v>
      </c>
      <c r="F27" s="47">
        <v>0</v>
      </c>
      <c r="G27" s="47">
        <v>0</v>
      </c>
      <c r="H27" s="47">
        <v>0.4</v>
      </c>
      <c r="L27" s="106" t="str">
        <f>Duration!A91</f>
        <v>2024 Q3</v>
      </c>
      <c r="M27" s="139">
        <f ca="1">OFFSET(Duration!A91,Duration!$L$1,Duration!$P$1)</f>
        <v>8</v>
      </c>
    </row>
    <row r="28" spans="1:19">
      <c r="A28" s="7" t="s">
        <v>187</v>
      </c>
      <c r="B28" s="47">
        <v>5.6</v>
      </c>
      <c r="C28" s="47">
        <v>23.5</v>
      </c>
      <c r="D28" s="47">
        <v>8.1999999999999993</v>
      </c>
      <c r="E28" s="47">
        <v>4.0999999999999996</v>
      </c>
      <c r="F28" s="47">
        <v>1.8</v>
      </c>
      <c r="G28" s="47">
        <v>0.7</v>
      </c>
      <c r="H28" s="47">
        <v>3</v>
      </c>
      <c r="M28" s="47"/>
    </row>
    <row r="29" spans="1:19">
      <c r="A29" s="7" t="s">
        <v>188</v>
      </c>
      <c r="B29" s="47">
        <v>3.8</v>
      </c>
      <c r="C29" s="47">
        <v>16.8</v>
      </c>
      <c r="D29" s="47">
        <v>5.5</v>
      </c>
      <c r="E29" s="47">
        <v>1.8</v>
      </c>
      <c r="F29" s="47">
        <v>0.6</v>
      </c>
      <c r="G29" s="47">
        <v>0</v>
      </c>
      <c r="H29" s="47">
        <v>2.1</v>
      </c>
      <c r="M29" s="47"/>
    </row>
    <row r="30" spans="1:19">
      <c r="A30" s="7" t="s">
        <v>189</v>
      </c>
      <c r="B30" s="47">
        <v>8.4</v>
      </c>
      <c r="C30" s="47">
        <v>31.1</v>
      </c>
      <c r="D30" s="47">
        <v>3.3</v>
      </c>
      <c r="E30" s="47">
        <v>2.2999999999999998</v>
      </c>
      <c r="F30" s="47">
        <v>1.2</v>
      </c>
      <c r="G30" s="47">
        <v>0.7</v>
      </c>
      <c r="H30" s="47">
        <v>1.3</v>
      </c>
      <c r="K30" s="106" t="s">
        <v>191</v>
      </c>
      <c r="L30" s="139" t="s">
        <v>184</v>
      </c>
      <c r="M30" s="139" t="s">
        <v>192</v>
      </c>
      <c r="N30" s="139" t="s">
        <v>193</v>
      </c>
      <c r="O30" s="139" t="s">
        <v>194</v>
      </c>
      <c r="P30" s="139" t="s">
        <v>195</v>
      </c>
      <c r="Q30" s="106"/>
    </row>
    <row r="31" spans="1:19">
      <c r="A31" s="244" t="s">
        <v>568</v>
      </c>
      <c r="B31" s="47" t="s">
        <v>180</v>
      </c>
      <c r="C31" s="47" t="s">
        <v>182</v>
      </c>
      <c r="D31" s="47" t="s">
        <v>183</v>
      </c>
      <c r="E31" s="47" t="s">
        <v>177</v>
      </c>
      <c r="F31" s="47" t="s">
        <v>178</v>
      </c>
      <c r="G31" s="47" t="s">
        <v>179</v>
      </c>
      <c r="H31" s="47" t="s">
        <v>181</v>
      </c>
      <c r="I31" s="140"/>
      <c r="K31" s="106" t="s">
        <v>196</v>
      </c>
      <c r="L31" s="106" t="s">
        <v>242</v>
      </c>
      <c r="M31" s="106" t="s">
        <v>243</v>
      </c>
      <c r="N31" s="106" t="s">
        <v>244</v>
      </c>
      <c r="O31" s="106" t="s">
        <v>245</v>
      </c>
      <c r="P31" s="106" t="s">
        <v>246</v>
      </c>
      <c r="Q31" s="106" t="s">
        <v>247</v>
      </c>
      <c r="R31" s="106" t="s">
        <v>248</v>
      </c>
      <c r="S31" s="106"/>
    </row>
    <row r="32" spans="1:19">
      <c r="A32" s="7" t="s">
        <v>184</v>
      </c>
      <c r="B32" s="47">
        <v>6.9</v>
      </c>
      <c r="C32" s="47">
        <v>23.9</v>
      </c>
      <c r="D32" s="47">
        <v>9.8000000000000007</v>
      </c>
      <c r="E32" s="47">
        <v>7.7</v>
      </c>
      <c r="F32" s="47">
        <v>1.3</v>
      </c>
      <c r="G32" s="47">
        <v>0</v>
      </c>
      <c r="H32" s="47">
        <v>4.0999999999999996</v>
      </c>
      <c r="M32" s="47"/>
    </row>
    <row r="33" spans="1:14" hidden="1">
      <c r="A33" s="7" t="s">
        <v>186</v>
      </c>
      <c r="B33" s="47">
        <v>2.5</v>
      </c>
      <c r="C33" s="47">
        <v>3</v>
      </c>
      <c r="D33" s="47">
        <v>1.1000000000000001</v>
      </c>
      <c r="E33" s="47">
        <v>0</v>
      </c>
      <c r="F33" s="47">
        <v>0</v>
      </c>
      <c r="G33" s="47">
        <v>0</v>
      </c>
      <c r="H33" s="47">
        <v>0</v>
      </c>
      <c r="L33" s="106" t="str">
        <f ca="1">OFFSET(Duration!K30,0,Duration!$L$1)</f>
        <v>Both Sexes, All Races</v>
      </c>
      <c r="M33" s="139"/>
      <c r="N33" s="106"/>
    </row>
    <row r="34" spans="1:14">
      <c r="A34" s="7" t="s">
        <v>187</v>
      </c>
      <c r="B34" s="47">
        <v>7.4</v>
      </c>
      <c r="C34" s="47">
        <v>24.9</v>
      </c>
      <c r="D34" s="47">
        <v>8.6999999999999993</v>
      </c>
      <c r="E34" s="47">
        <v>7.7</v>
      </c>
      <c r="F34" s="47">
        <v>1.3</v>
      </c>
      <c r="G34" s="47">
        <v>0</v>
      </c>
      <c r="H34" s="47">
        <v>4.0999999999999996</v>
      </c>
      <c r="L34" s="106" t="str">
        <f ca="1">OFFSET(Duration!K31,0,Duration!$P$1)</f>
        <v>Median Duration of Unemployment (in weeks)</v>
      </c>
      <c r="M34" s="139"/>
      <c r="N34" s="106"/>
    </row>
    <row r="35" spans="1:14">
      <c r="A35" s="7" t="s">
        <v>188</v>
      </c>
      <c r="B35" s="47">
        <v>8.3000000000000007</v>
      </c>
      <c r="C35" s="47">
        <v>25.4</v>
      </c>
      <c r="D35" s="47">
        <v>6.3</v>
      </c>
      <c r="E35" s="47">
        <v>6.2</v>
      </c>
      <c r="F35" s="47">
        <v>1.3</v>
      </c>
      <c r="G35" s="47">
        <v>0</v>
      </c>
      <c r="H35" s="47">
        <v>3.6</v>
      </c>
      <c r="M35" s="47"/>
    </row>
    <row r="36" spans="1:14">
      <c r="A36" s="7" t="s">
        <v>189</v>
      </c>
      <c r="B36" s="47">
        <v>3.9</v>
      </c>
      <c r="C36" s="47">
        <v>19.100000000000001</v>
      </c>
      <c r="D36" s="47">
        <v>3.4</v>
      </c>
      <c r="E36" s="47">
        <v>1.5</v>
      </c>
      <c r="F36" s="47">
        <v>0</v>
      </c>
      <c r="G36" s="47">
        <v>0</v>
      </c>
      <c r="H36" s="47">
        <v>0.5</v>
      </c>
      <c r="M36" s="47"/>
    </row>
    <row r="37" spans="1:14">
      <c r="A37" s="244" t="s">
        <v>569</v>
      </c>
      <c r="B37" s="47" t="s">
        <v>180</v>
      </c>
      <c r="C37" s="47" t="s">
        <v>182</v>
      </c>
      <c r="D37" s="47" t="s">
        <v>183</v>
      </c>
      <c r="E37" s="47" t="s">
        <v>177</v>
      </c>
      <c r="F37" s="47" t="s">
        <v>178</v>
      </c>
      <c r="G37" s="47" t="s">
        <v>179</v>
      </c>
      <c r="H37" s="47" t="s">
        <v>181</v>
      </c>
      <c r="I37" s="140"/>
      <c r="M37" s="47"/>
    </row>
    <row r="38" spans="1:14">
      <c r="A38" s="7" t="s">
        <v>184</v>
      </c>
      <c r="B38" s="47">
        <v>5.9</v>
      </c>
      <c r="C38" s="47">
        <v>17.899999999999999</v>
      </c>
      <c r="D38" s="47">
        <v>7.9</v>
      </c>
      <c r="E38" s="47">
        <v>3.7</v>
      </c>
      <c r="F38" s="47">
        <v>2</v>
      </c>
      <c r="G38" s="47">
        <v>1.4</v>
      </c>
      <c r="H38" s="47">
        <v>1.4</v>
      </c>
      <c r="M38" s="47"/>
    </row>
    <row r="39" spans="1:14">
      <c r="A39" s="7" t="s">
        <v>186</v>
      </c>
      <c r="B39" s="47">
        <v>2.4</v>
      </c>
      <c r="C39" s="47">
        <v>3.8</v>
      </c>
      <c r="D39" s="47">
        <v>2.2000000000000002</v>
      </c>
      <c r="E39" s="47">
        <v>0.7</v>
      </c>
      <c r="F39" s="47">
        <v>0</v>
      </c>
      <c r="G39" s="47">
        <v>0</v>
      </c>
      <c r="H39" s="47">
        <v>0</v>
      </c>
      <c r="M39" s="47"/>
    </row>
    <row r="40" spans="1:14">
      <c r="A40" s="7" t="s">
        <v>187</v>
      </c>
      <c r="B40" s="47">
        <v>7.8</v>
      </c>
      <c r="C40" s="47">
        <v>21</v>
      </c>
      <c r="D40" s="47">
        <v>5.7</v>
      </c>
      <c r="E40" s="47">
        <v>3</v>
      </c>
      <c r="F40" s="47">
        <v>2</v>
      </c>
      <c r="G40" s="47">
        <v>1.4</v>
      </c>
      <c r="H40" s="47">
        <v>1.4</v>
      </c>
      <c r="M40" s="47"/>
    </row>
    <row r="41" spans="1:14">
      <c r="A41" s="7" t="s">
        <v>188</v>
      </c>
      <c r="B41" s="47">
        <v>11.1</v>
      </c>
      <c r="C41" s="47">
        <v>19</v>
      </c>
      <c r="D41" s="47">
        <v>3.2</v>
      </c>
      <c r="E41" s="47">
        <v>1.8</v>
      </c>
      <c r="F41" s="47">
        <v>2</v>
      </c>
      <c r="G41" s="47">
        <v>1.1000000000000001</v>
      </c>
      <c r="H41" s="47">
        <v>0.7</v>
      </c>
      <c r="M41" s="47"/>
    </row>
    <row r="42" spans="1:14">
      <c r="A42" s="7" t="s">
        <v>189</v>
      </c>
      <c r="B42" s="47">
        <v>3.6</v>
      </c>
      <c r="C42" s="47">
        <v>16.600000000000001</v>
      </c>
      <c r="D42" s="47">
        <v>4.7</v>
      </c>
      <c r="E42" s="47">
        <v>1.9</v>
      </c>
      <c r="F42" s="47">
        <v>0</v>
      </c>
      <c r="G42" s="47">
        <v>0.3</v>
      </c>
      <c r="H42" s="47">
        <v>0.7</v>
      </c>
      <c r="M42" s="47"/>
    </row>
    <row r="43" spans="1:14">
      <c r="A43" s="244" t="s">
        <v>570</v>
      </c>
      <c r="B43" s="47" t="s">
        <v>180</v>
      </c>
      <c r="C43" s="47" t="s">
        <v>182</v>
      </c>
      <c r="D43" s="47" t="s">
        <v>183</v>
      </c>
      <c r="E43" s="47" t="s">
        <v>177</v>
      </c>
      <c r="F43" s="47" t="s">
        <v>178</v>
      </c>
      <c r="G43" s="47" t="s">
        <v>179</v>
      </c>
      <c r="H43" s="47" t="s">
        <v>181</v>
      </c>
      <c r="I43" s="140"/>
      <c r="M43" s="47"/>
    </row>
    <row r="44" spans="1:14">
      <c r="A44" s="7" t="s">
        <v>184</v>
      </c>
      <c r="B44" s="47">
        <v>4.4000000000000004</v>
      </c>
      <c r="C44" s="47">
        <v>19.3</v>
      </c>
      <c r="D44" s="47">
        <v>11.8</v>
      </c>
      <c r="E44" s="47">
        <v>4.8</v>
      </c>
      <c r="F44" s="47">
        <v>3</v>
      </c>
      <c r="G44" s="47">
        <v>0.6</v>
      </c>
      <c r="H44" s="47">
        <v>2.7</v>
      </c>
      <c r="M44" s="47"/>
    </row>
    <row r="45" spans="1:14">
      <c r="A45" s="7" t="s">
        <v>186</v>
      </c>
      <c r="B45" s="47">
        <v>2.4</v>
      </c>
      <c r="C45" s="47">
        <v>55.1</v>
      </c>
      <c r="D45" s="47">
        <v>1.2</v>
      </c>
      <c r="E45" s="47">
        <v>0.3</v>
      </c>
      <c r="F45" s="47">
        <v>0</v>
      </c>
      <c r="G45" s="47">
        <v>0</v>
      </c>
      <c r="H45" s="47">
        <v>0.8</v>
      </c>
      <c r="M45" s="47"/>
    </row>
    <row r="46" spans="1:14">
      <c r="A46" s="7" t="s">
        <v>187</v>
      </c>
      <c r="B46" s="47">
        <v>4.4000000000000004</v>
      </c>
      <c r="C46" s="47">
        <v>15.3</v>
      </c>
      <c r="D46" s="47">
        <v>10.5</v>
      </c>
      <c r="E46" s="47">
        <v>4.5</v>
      </c>
      <c r="F46" s="47">
        <v>3</v>
      </c>
      <c r="G46" s="47">
        <v>0.6</v>
      </c>
      <c r="H46" s="47">
        <v>1.9</v>
      </c>
      <c r="M46" s="47"/>
    </row>
    <row r="47" spans="1:14">
      <c r="A47" s="7" t="s">
        <v>188</v>
      </c>
      <c r="B47" s="47">
        <v>5.9</v>
      </c>
      <c r="C47" s="47">
        <v>21.7</v>
      </c>
      <c r="D47" s="47">
        <v>5.5</v>
      </c>
      <c r="E47" s="47">
        <v>3.3</v>
      </c>
      <c r="F47" s="47">
        <v>0.8</v>
      </c>
      <c r="G47" s="47">
        <v>0</v>
      </c>
      <c r="H47" s="47">
        <v>2.1</v>
      </c>
      <c r="M47" s="47"/>
    </row>
    <row r="48" spans="1:14">
      <c r="A48" s="7" t="s">
        <v>189</v>
      </c>
      <c r="B48" s="47">
        <v>4</v>
      </c>
      <c r="C48" s="47">
        <v>16.8</v>
      </c>
      <c r="D48" s="47">
        <v>6.3</v>
      </c>
      <c r="E48" s="47">
        <v>1.5</v>
      </c>
      <c r="F48" s="47">
        <v>2.1</v>
      </c>
      <c r="G48" s="47">
        <v>0.6</v>
      </c>
      <c r="H48" s="47">
        <v>0.5</v>
      </c>
      <c r="M48" s="47"/>
    </row>
    <row r="49" spans="1:13">
      <c r="A49" s="244" t="s">
        <v>571</v>
      </c>
      <c r="B49" s="47" t="s">
        <v>180</v>
      </c>
      <c r="C49" s="47" t="s">
        <v>182</v>
      </c>
      <c r="D49" s="47" t="s">
        <v>183</v>
      </c>
      <c r="E49" s="47" t="s">
        <v>177</v>
      </c>
      <c r="F49" s="47" t="s">
        <v>178</v>
      </c>
      <c r="G49" s="47" t="s">
        <v>179</v>
      </c>
      <c r="H49" s="47" t="s">
        <v>181</v>
      </c>
      <c r="I49" s="140"/>
      <c r="M49" s="47"/>
    </row>
    <row r="50" spans="1:13">
      <c r="A50" s="7" t="s">
        <v>184</v>
      </c>
      <c r="B50" s="47">
        <v>7.8</v>
      </c>
      <c r="C50" s="47">
        <v>21.9</v>
      </c>
      <c r="D50" s="47">
        <v>8.1</v>
      </c>
      <c r="E50" s="47">
        <v>8.6</v>
      </c>
      <c r="F50" s="47">
        <v>2.1</v>
      </c>
      <c r="G50" s="47">
        <v>0.7</v>
      </c>
      <c r="H50" s="47">
        <v>4.3</v>
      </c>
      <c r="M50" s="47"/>
    </row>
    <row r="51" spans="1:13">
      <c r="A51" s="7" t="s">
        <v>186</v>
      </c>
      <c r="B51" s="47">
        <v>7.5</v>
      </c>
      <c r="C51" s="47">
        <v>17.2</v>
      </c>
      <c r="D51" s="47">
        <v>2.2000000000000002</v>
      </c>
      <c r="E51" s="47">
        <v>2.7</v>
      </c>
      <c r="F51" s="47">
        <v>0</v>
      </c>
      <c r="G51" s="47">
        <v>0</v>
      </c>
      <c r="H51" s="47">
        <v>0.4</v>
      </c>
      <c r="L51" s="7" t="s">
        <v>566</v>
      </c>
      <c r="M51" s="47"/>
    </row>
    <row r="52" spans="1:13">
      <c r="A52" s="7" t="s">
        <v>187</v>
      </c>
      <c r="B52" s="47">
        <v>8</v>
      </c>
      <c r="C52" s="47">
        <v>23.3</v>
      </c>
      <c r="D52" s="47">
        <v>5.9</v>
      </c>
      <c r="E52" s="47">
        <v>5.8</v>
      </c>
      <c r="F52" s="47">
        <v>2.1</v>
      </c>
      <c r="G52" s="47">
        <v>0.7</v>
      </c>
      <c r="H52" s="47">
        <v>3.9</v>
      </c>
      <c r="M52" s="47"/>
    </row>
    <row r="53" spans="1:13">
      <c r="A53" s="7" t="s">
        <v>188</v>
      </c>
      <c r="B53" s="47">
        <v>7.6</v>
      </c>
      <c r="C53" s="47">
        <v>20.5</v>
      </c>
      <c r="D53" s="47">
        <v>5.7</v>
      </c>
      <c r="E53" s="47">
        <v>4.5</v>
      </c>
      <c r="F53" s="47">
        <v>2.1</v>
      </c>
      <c r="G53" s="47">
        <v>0</v>
      </c>
      <c r="H53" s="47">
        <v>3.1</v>
      </c>
      <c r="M53" s="47"/>
    </row>
    <row r="54" spans="1:13">
      <c r="A54" s="7" t="s">
        <v>189</v>
      </c>
      <c r="B54" s="47">
        <v>8.1</v>
      </c>
      <c r="C54" s="47">
        <v>24.7</v>
      </c>
      <c r="D54" s="47">
        <v>2.4</v>
      </c>
      <c r="E54" s="47">
        <v>4.0999999999999996</v>
      </c>
      <c r="F54" s="47">
        <v>0</v>
      </c>
      <c r="G54" s="47">
        <v>0.7</v>
      </c>
      <c r="H54" s="47">
        <v>1.2</v>
      </c>
      <c r="M54" s="47"/>
    </row>
    <row r="55" spans="1:13">
      <c r="A55" s="244" t="s">
        <v>584</v>
      </c>
      <c r="B55" s="47" t="s">
        <v>180</v>
      </c>
      <c r="C55" s="47" t="s">
        <v>182</v>
      </c>
      <c r="D55" s="47" t="s">
        <v>183</v>
      </c>
      <c r="E55" s="47" t="s">
        <v>177</v>
      </c>
      <c r="F55" s="47" t="s">
        <v>178</v>
      </c>
      <c r="G55" s="47" t="s">
        <v>179</v>
      </c>
      <c r="H55" s="47" t="s">
        <v>181</v>
      </c>
      <c r="I55" s="140"/>
      <c r="M55" s="47"/>
    </row>
    <row r="56" spans="1:13">
      <c r="A56" s="7" t="s">
        <v>184</v>
      </c>
      <c r="B56" s="47">
        <v>9.9</v>
      </c>
      <c r="C56" s="47">
        <v>35.5</v>
      </c>
      <c r="D56" s="47">
        <v>4.9000000000000004</v>
      </c>
      <c r="E56" s="47">
        <v>3.2</v>
      </c>
      <c r="F56" s="47">
        <v>2</v>
      </c>
      <c r="G56" s="47">
        <v>1.2</v>
      </c>
      <c r="H56" s="47">
        <v>3.5</v>
      </c>
      <c r="M56" s="47"/>
    </row>
    <row r="57" spans="1:13">
      <c r="A57" s="7" t="s">
        <v>186</v>
      </c>
      <c r="B57" s="47">
        <v>0</v>
      </c>
      <c r="C57" s="47">
        <v>0</v>
      </c>
      <c r="D57" s="47">
        <v>0</v>
      </c>
      <c r="E57" s="47">
        <v>0</v>
      </c>
      <c r="F57" s="47">
        <v>0</v>
      </c>
      <c r="G57" s="47">
        <v>0</v>
      </c>
      <c r="H57" s="47">
        <v>0</v>
      </c>
      <c r="M57" s="47"/>
    </row>
    <row r="58" spans="1:13">
      <c r="A58" s="7" t="s">
        <v>187</v>
      </c>
      <c r="B58" s="47">
        <v>9.9</v>
      </c>
      <c r="C58" s="47">
        <v>35.5</v>
      </c>
      <c r="D58" s="47">
        <v>4.9000000000000004</v>
      </c>
      <c r="E58" s="47">
        <v>3.2</v>
      </c>
      <c r="F58" s="47">
        <v>2</v>
      </c>
      <c r="G58" s="47">
        <v>1.2</v>
      </c>
      <c r="H58" s="47">
        <v>3.5</v>
      </c>
      <c r="M58" s="47"/>
    </row>
    <row r="59" spans="1:13">
      <c r="A59" s="7" t="s">
        <v>188</v>
      </c>
      <c r="B59" s="47">
        <v>14.3</v>
      </c>
      <c r="C59" s="47">
        <v>28.1</v>
      </c>
      <c r="D59" s="47">
        <v>1.8</v>
      </c>
      <c r="E59" s="47">
        <v>3.2</v>
      </c>
      <c r="F59" s="47">
        <v>2</v>
      </c>
      <c r="G59" s="47">
        <v>1.2</v>
      </c>
      <c r="H59" s="47">
        <v>1.9</v>
      </c>
      <c r="M59" s="47"/>
    </row>
    <row r="60" spans="1:13">
      <c r="A60" s="7" t="s">
        <v>189</v>
      </c>
      <c r="B60" s="47">
        <v>3.3</v>
      </c>
      <c r="C60" s="47">
        <v>51.3</v>
      </c>
      <c r="D60" s="47">
        <v>3.1</v>
      </c>
      <c r="E60" s="47">
        <v>0</v>
      </c>
      <c r="F60" s="47">
        <v>0</v>
      </c>
      <c r="G60" s="47">
        <v>0</v>
      </c>
      <c r="H60" s="47">
        <v>1.6</v>
      </c>
      <c r="M60" s="47"/>
    </row>
    <row r="61" spans="1:13">
      <c r="A61" s="244" t="s">
        <v>585</v>
      </c>
      <c r="B61" s="47" t="s">
        <v>180</v>
      </c>
      <c r="C61" s="47" t="s">
        <v>182</v>
      </c>
      <c r="D61" s="47" t="s">
        <v>183</v>
      </c>
      <c r="E61" s="47" t="s">
        <v>177</v>
      </c>
      <c r="F61" s="47" t="s">
        <v>178</v>
      </c>
      <c r="G61" s="47" t="s">
        <v>179</v>
      </c>
      <c r="H61" s="47" t="s">
        <v>181</v>
      </c>
      <c r="I61" s="140"/>
      <c r="M61" s="47"/>
    </row>
    <row r="62" spans="1:13">
      <c r="A62" s="7" t="s">
        <v>184</v>
      </c>
      <c r="B62" s="47">
        <v>6.6</v>
      </c>
      <c r="C62" s="47">
        <v>10.9</v>
      </c>
      <c r="D62" s="47">
        <v>5.8</v>
      </c>
      <c r="E62" s="47">
        <v>5.0999999999999996</v>
      </c>
      <c r="F62" s="47">
        <v>1</v>
      </c>
      <c r="G62" s="47">
        <v>1</v>
      </c>
      <c r="H62" s="47">
        <v>0.5</v>
      </c>
      <c r="M62" s="47"/>
    </row>
    <row r="63" spans="1:13">
      <c r="A63" s="7" t="s">
        <v>186</v>
      </c>
      <c r="B63" s="47">
        <v>6.8</v>
      </c>
      <c r="C63" s="47">
        <v>13.4</v>
      </c>
      <c r="D63" s="47">
        <v>1</v>
      </c>
      <c r="E63" s="47">
        <v>0.7</v>
      </c>
      <c r="F63" s="47">
        <v>0</v>
      </c>
      <c r="G63" s="47">
        <v>0.4</v>
      </c>
      <c r="H63" s="47">
        <v>0</v>
      </c>
      <c r="M63" s="47"/>
    </row>
    <row r="64" spans="1:13">
      <c r="A64" s="7" t="s">
        <v>187</v>
      </c>
      <c r="B64" s="47">
        <v>6.5</v>
      </c>
      <c r="C64" s="47">
        <v>10.4</v>
      </c>
      <c r="D64" s="47">
        <v>4.8</v>
      </c>
      <c r="E64" s="47">
        <v>4.4000000000000004</v>
      </c>
      <c r="F64" s="47">
        <v>1</v>
      </c>
      <c r="G64" s="47">
        <v>0.6</v>
      </c>
      <c r="H64" s="47">
        <v>0.5</v>
      </c>
      <c r="M64" s="47"/>
    </row>
    <row r="65" spans="1:13">
      <c r="A65" s="7" t="s">
        <v>188</v>
      </c>
      <c r="B65" s="47">
        <v>5.4</v>
      </c>
      <c r="C65" s="47">
        <v>9.5</v>
      </c>
      <c r="D65" s="47">
        <v>4.0999999999999996</v>
      </c>
      <c r="E65" s="47">
        <v>3.1</v>
      </c>
      <c r="F65" s="47">
        <v>0.7</v>
      </c>
      <c r="G65" s="47">
        <v>0.7</v>
      </c>
      <c r="H65" s="47">
        <v>0</v>
      </c>
      <c r="M65" s="47"/>
    </row>
    <row r="66" spans="1:13">
      <c r="A66" s="7" t="s">
        <v>189</v>
      </c>
      <c r="B66" s="47">
        <v>7.6</v>
      </c>
      <c r="C66" s="47">
        <v>13.3</v>
      </c>
      <c r="D66" s="47">
        <v>1.8</v>
      </c>
      <c r="E66" s="47">
        <v>2</v>
      </c>
      <c r="F66" s="47">
        <v>0.3</v>
      </c>
      <c r="G66" s="47">
        <v>0.3</v>
      </c>
      <c r="H66" s="47">
        <v>0.5</v>
      </c>
      <c r="M66" s="47"/>
    </row>
    <row r="67" spans="1:13">
      <c r="A67" s="244" t="s">
        <v>587</v>
      </c>
      <c r="B67" s="47" t="s">
        <v>180</v>
      </c>
      <c r="C67" s="47" t="s">
        <v>182</v>
      </c>
      <c r="D67" s="47" t="s">
        <v>183</v>
      </c>
      <c r="E67" s="47" t="s">
        <v>177</v>
      </c>
      <c r="F67" s="47" t="s">
        <v>178</v>
      </c>
      <c r="G67" s="47" t="s">
        <v>179</v>
      </c>
      <c r="H67" s="47" t="s">
        <v>181</v>
      </c>
      <c r="I67" s="140"/>
      <c r="M67" s="47"/>
    </row>
    <row r="68" spans="1:13">
      <c r="A68" s="7" t="s">
        <v>184</v>
      </c>
      <c r="B68" s="47">
        <v>6.9</v>
      </c>
      <c r="C68" s="47">
        <v>16.100000000000001</v>
      </c>
      <c r="D68" s="47">
        <v>10.7</v>
      </c>
      <c r="E68" s="47">
        <v>8.9</v>
      </c>
      <c r="F68" s="47">
        <v>2.6</v>
      </c>
      <c r="G68" s="47">
        <v>0.4</v>
      </c>
      <c r="H68" s="47">
        <v>2.8</v>
      </c>
      <c r="M68" s="47"/>
    </row>
    <row r="69" spans="1:13">
      <c r="A69" s="7" t="s">
        <v>186</v>
      </c>
      <c r="B69" s="47">
        <v>4.8</v>
      </c>
      <c r="C69" s="47">
        <v>9</v>
      </c>
      <c r="D69" s="47">
        <v>2.2999999999999998</v>
      </c>
      <c r="E69" s="47">
        <v>2.1</v>
      </c>
      <c r="F69" s="47">
        <v>0</v>
      </c>
      <c r="G69" s="47">
        <v>0</v>
      </c>
      <c r="H69" s="47">
        <v>0.3</v>
      </c>
      <c r="M69" s="47"/>
    </row>
    <row r="70" spans="1:13">
      <c r="A70" s="7" t="s">
        <v>187</v>
      </c>
      <c r="B70" s="47">
        <v>7.6</v>
      </c>
      <c r="C70" s="47">
        <v>17.8</v>
      </c>
      <c r="D70" s="47">
        <v>8.5</v>
      </c>
      <c r="E70" s="47">
        <v>6.8</v>
      </c>
      <c r="F70" s="47">
        <v>2.6</v>
      </c>
      <c r="G70" s="47">
        <v>0.4</v>
      </c>
      <c r="H70" s="47">
        <v>2.4</v>
      </c>
      <c r="M70" s="47"/>
    </row>
    <row r="71" spans="1:13">
      <c r="A71" s="7" t="s">
        <v>188</v>
      </c>
      <c r="B71" s="47">
        <v>8.6999999999999993</v>
      </c>
      <c r="C71" s="47">
        <v>17.100000000000001</v>
      </c>
      <c r="D71" s="47">
        <v>3.5</v>
      </c>
      <c r="E71" s="47">
        <v>3.9</v>
      </c>
      <c r="F71" s="47">
        <v>1.1000000000000001</v>
      </c>
      <c r="G71" s="47">
        <v>0.4</v>
      </c>
      <c r="H71" s="47">
        <v>1.5</v>
      </c>
      <c r="M71" s="47"/>
    </row>
    <row r="72" spans="1:13">
      <c r="A72" s="7" t="s">
        <v>189</v>
      </c>
      <c r="B72" s="47">
        <v>5.2</v>
      </c>
      <c r="C72" s="47">
        <v>15.5</v>
      </c>
      <c r="D72" s="47">
        <v>7.2</v>
      </c>
      <c r="E72" s="47">
        <v>5</v>
      </c>
      <c r="F72" s="47">
        <v>1.5</v>
      </c>
      <c r="G72" s="47">
        <v>0</v>
      </c>
      <c r="H72" s="47">
        <v>1.3</v>
      </c>
      <c r="M72" s="47"/>
    </row>
    <row r="73" spans="1:13">
      <c r="A73" s="244" t="s">
        <v>590</v>
      </c>
      <c r="B73" s="47" t="s">
        <v>180</v>
      </c>
      <c r="C73" s="47" t="s">
        <v>182</v>
      </c>
      <c r="D73" s="47" t="s">
        <v>183</v>
      </c>
      <c r="E73" s="47" t="s">
        <v>177</v>
      </c>
      <c r="F73" s="47" t="s">
        <v>178</v>
      </c>
      <c r="G73" s="47" t="s">
        <v>179</v>
      </c>
      <c r="H73" s="47" t="s">
        <v>181</v>
      </c>
      <c r="I73" s="140"/>
      <c r="M73" s="47"/>
    </row>
    <row r="74" spans="1:13">
      <c r="A74" s="7" t="s">
        <v>184</v>
      </c>
      <c r="B74" s="47">
        <v>9.3000000000000007</v>
      </c>
      <c r="C74" s="47">
        <v>16.7</v>
      </c>
      <c r="D74" s="47">
        <v>5.2</v>
      </c>
      <c r="E74" s="47">
        <v>7.4</v>
      </c>
      <c r="F74" s="47">
        <v>2.4</v>
      </c>
      <c r="G74" s="47">
        <v>1.8</v>
      </c>
      <c r="H74" s="47">
        <v>2</v>
      </c>
      <c r="M74" s="47"/>
    </row>
    <row r="75" spans="1:13">
      <c r="A75" s="7" t="s">
        <v>186</v>
      </c>
      <c r="B75" s="47">
        <v>10.4</v>
      </c>
      <c r="C75" s="47">
        <v>11.3</v>
      </c>
      <c r="D75" s="47">
        <v>0.8</v>
      </c>
      <c r="E75" s="47">
        <v>1.1000000000000001</v>
      </c>
      <c r="F75" s="47">
        <v>1.2</v>
      </c>
      <c r="G75" s="47">
        <v>0</v>
      </c>
      <c r="H75" s="47">
        <v>0</v>
      </c>
      <c r="M75" s="47"/>
    </row>
    <row r="76" spans="1:13">
      <c r="A76" s="7" t="s">
        <v>187</v>
      </c>
      <c r="B76" s="47">
        <v>9.1</v>
      </c>
      <c r="C76" s="47">
        <v>17.8</v>
      </c>
      <c r="D76" s="47">
        <v>4.4000000000000004</v>
      </c>
      <c r="E76" s="47">
        <v>6.3</v>
      </c>
      <c r="F76" s="47">
        <v>1.2</v>
      </c>
      <c r="G76" s="47">
        <v>1.8</v>
      </c>
      <c r="H76" s="47">
        <v>2</v>
      </c>
    </row>
    <row r="77" spans="1:13">
      <c r="A77" s="7" t="s">
        <v>188</v>
      </c>
      <c r="B77" s="47">
        <v>8.6999999999999993</v>
      </c>
      <c r="C77" s="47">
        <v>16.5</v>
      </c>
      <c r="D77" s="47">
        <v>3.1</v>
      </c>
      <c r="E77" s="47">
        <v>3.7</v>
      </c>
      <c r="F77" s="47">
        <v>0.6</v>
      </c>
      <c r="G77" s="47">
        <v>0.7</v>
      </c>
      <c r="H77" s="47">
        <v>1.4</v>
      </c>
    </row>
    <row r="78" spans="1:13">
      <c r="A78" s="7" t="s">
        <v>189</v>
      </c>
      <c r="B78" s="47">
        <v>9.6</v>
      </c>
      <c r="C78" s="47">
        <v>16.899999999999999</v>
      </c>
      <c r="D78" s="47">
        <v>2.2000000000000002</v>
      </c>
      <c r="E78" s="47">
        <v>3.7</v>
      </c>
      <c r="F78" s="47">
        <v>1.8</v>
      </c>
      <c r="G78" s="47">
        <v>1.2</v>
      </c>
      <c r="H78" s="47">
        <v>0.6</v>
      </c>
    </row>
    <row r="79" spans="1:13">
      <c r="A79" s="244" t="s">
        <v>591</v>
      </c>
      <c r="B79" s="47" t="s">
        <v>180</v>
      </c>
      <c r="C79" s="47" t="s">
        <v>182</v>
      </c>
      <c r="D79" s="47" t="s">
        <v>183</v>
      </c>
      <c r="E79" s="47" t="s">
        <v>177</v>
      </c>
      <c r="F79" s="47" t="s">
        <v>178</v>
      </c>
      <c r="G79" s="47" t="s">
        <v>179</v>
      </c>
      <c r="H79" s="47" t="s">
        <v>181</v>
      </c>
      <c r="I79" s="140"/>
    </row>
    <row r="80" spans="1:13">
      <c r="A80" s="7" t="s">
        <v>184</v>
      </c>
      <c r="B80" s="47">
        <v>9.1</v>
      </c>
      <c r="C80" s="47">
        <v>15.8</v>
      </c>
      <c r="D80" s="47">
        <v>5.7</v>
      </c>
      <c r="E80" s="47">
        <v>6.5</v>
      </c>
      <c r="F80" s="47">
        <v>2.2000000000000002</v>
      </c>
      <c r="G80" s="47">
        <v>2.4</v>
      </c>
      <c r="H80" s="47">
        <v>1.7</v>
      </c>
    </row>
    <row r="81" spans="1:9">
      <c r="A81" s="7" t="s">
        <v>186</v>
      </c>
      <c r="B81" s="47">
        <v>3.9</v>
      </c>
      <c r="C81" s="47">
        <v>7.1</v>
      </c>
      <c r="D81" s="47">
        <v>1.1000000000000001</v>
      </c>
      <c r="E81" s="47">
        <v>0</v>
      </c>
      <c r="F81" s="47">
        <v>0.5</v>
      </c>
      <c r="G81" s="47">
        <v>0</v>
      </c>
      <c r="H81" s="47">
        <v>0</v>
      </c>
    </row>
    <row r="82" spans="1:9">
      <c r="A82" s="7" t="s">
        <v>187</v>
      </c>
      <c r="B82" s="47">
        <v>9.4</v>
      </c>
      <c r="C82" s="47">
        <v>16.600000000000001</v>
      </c>
      <c r="D82" s="47">
        <v>4.7</v>
      </c>
      <c r="E82" s="47">
        <v>6.5</v>
      </c>
      <c r="F82" s="47">
        <v>1.7</v>
      </c>
      <c r="G82" s="47">
        <v>2.4</v>
      </c>
      <c r="H82" s="47">
        <v>1.7</v>
      </c>
    </row>
    <row r="83" spans="1:9">
      <c r="A83" s="7" t="s">
        <v>188</v>
      </c>
      <c r="B83" s="47">
        <v>9.1999999999999993</v>
      </c>
      <c r="C83" s="47">
        <v>15.3</v>
      </c>
      <c r="D83" s="47">
        <v>3.3</v>
      </c>
      <c r="E83" s="47">
        <v>6.2</v>
      </c>
      <c r="F83" s="47">
        <v>1.5</v>
      </c>
      <c r="G83" s="47">
        <v>1.8</v>
      </c>
      <c r="H83" s="47">
        <v>1.1000000000000001</v>
      </c>
    </row>
    <row r="84" spans="1:9">
      <c r="A84" s="7" t="s">
        <v>189</v>
      </c>
      <c r="B84" s="47">
        <v>4.4000000000000004</v>
      </c>
      <c r="C84" s="47">
        <v>17.3</v>
      </c>
      <c r="D84" s="47">
        <v>2.4</v>
      </c>
      <c r="E84" s="47">
        <v>0.3</v>
      </c>
      <c r="F84" s="47">
        <v>0.7</v>
      </c>
      <c r="G84" s="47">
        <v>0.6</v>
      </c>
      <c r="H84" s="47">
        <v>0.6</v>
      </c>
    </row>
    <row r="85" spans="1:9">
      <c r="A85" s="244" t="s">
        <v>592</v>
      </c>
      <c r="B85" s="47" t="s">
        <v>180</v>
      </c>
      <c r="C85" s="47" t="s">
        <v>182</v>
      </c>
      <c r="D85" s="47" t="s">
        <v>183</v>
      </c>
      <c r="E85" s="47" t="s">
        <v>177</v>
      </c>
      <c r="F85" s="47" t="s">
        <v>178</v>
      </c>
      <c r="G85" s="47" t="s">
        <v>179</v>
      </c>
      <c r="H85" s="47" t="s">
        <v>181</v>
      </c>
      <c r="I85" s="140"/>
    </row>
    <row r="86" spans="1:9">
      <c r="A86" s="7" t="s">
        <v>184</v>
      </c>
      <c r="B86" s="47">
        <v>7.8</v>
      </c>
      <c r="C86" s="47">
        <v>14.3</v>
      </c>
      <c r="D86" s="47">
        <v>6</v>
      </c>
      <c r="E86" s="47">
        <v>7</v>
      </c>
      <c r="F86" s="47">
        <v>1</v>
      </c>
      <c r="G86" s="47">
        <v>2</v>
      </c>
      <c r="H86" s="47">
        <v>1</v>
      </c>
    </row>
    <row r="87" spans="1:9">
      <c r="A87" s="7" t="s">
        <v>186</v>
      </c>
      <c r="B87" s="47">
        <v>6.6</v>
      </c>
      <c r="C87" s="47">
        <v>6.4</v>
      </c>
      <c r="D87" s="47">
        <v>1</v>
      </c>
      <c r="E87" s="47">
        <v>2</v>
      </c>
      <c r="F87" s="47">
        <v>0</v>
      </c>
      <c r="G87" s="47">
        <v>0</v>
      </c>
      <c r="H87" s="47">
        <v>0</v>
      </c>
    </row>
    <row r="88" spans="1:9">
      <c r="A88" s="7" t="s">
        <v>187</v>
      </c>
      <c r="B88" s="47">
        <v>8.6</v>
      </c>
      <c r="C88" s="47">
        <v>16.3</v>
      </c>
      <c r="D88" s="47">
        <v>5</v>
      </c>
      <c r="E88" s="47">
        <v>5</v>
      </c>
      <c r="F88" s="47">
        <v>1</v>
      </c>
      <c r="G88" s="47">
        <v>2</v>
      </c>
      <c r="H88" s="47">
        <v>1</v>
      </c>
    </row>
    <row r="89" spans="1:9">
      <c r="A89" s="7" t="s">
        <v>188</v>
      </c>
      <c r="B89" s="47">
        <v>7.7</v>
      </c>
      <c r="C89" s="47">
        <v>15</v>
      </c>
      <c r="D89" s="47">
        <v>4</v>
      </c>
      <c r="E89" s="47">
        <v>5</v>
      </c>
      <c r="F89" s="47">
        <v>1</v>
      </c>
      <c r="G89" s="47">
        <v>2</v>
      </c>
      <c r="H89" s="47">
        <v>1</v>
      </c>
    </row>
    <row r="90" spans="1:9">
      <c r="A90" s="7" t="s">
        <v>189</v>
      </c>
      <c r="B90" s="47">
        <v>8</v>
      </c>
      <c r="C90" s="47">
        <v>12.5</v>
      </c>
      <c r="D90" s="47">
        <v>2</v>
      </c>
      <c r="E90" s="47">
        <v>2</v>
      </c>
      <c r="F90" s="47">
        <v>0</v>
      </c>
      <c r="G90" s="47">
        <v>1</v>
      </c>
      <c r="H90" s="47">
        <v>0</v>
      </c>
    </row>
    <row r="91" spans="1:9" ht="14.25" customHeight="1">
      <c r="A91" s="244" t="s">
        <v>618</v>
      </c>
      <c r="B91" s="47" t="s">
        <v>180</v>
      </c>
      <c r="C91" s="47" t="s">
        <v>182</v>
      </c>
      <c r="D91" s="47" t="s">
        <v>183</v>
      </c>
      <c r="E91" s="47" t="s">
        <v>177</v>
      </c>
      <c r="F91" s="47" t="s">
        <v>178</v>
      </c>
      <c r="G91" s="47" t="s">
        <v>179</v>
      </c>
      <c r="H91" s="47" t="s">
        <v>181</v>
      </c>
      <c r="I91" s="140"/>
    </row>
    <row r="92" spans="1:9">
      <c r="A92" s="7" t="s">
        <v>184</v>
      </c>
      <c r="B92" s="47">
        <v>8</v>
      </c>
      <c r="C92" s="47">
        <v>14.1</v>
      </c>
      <c r="D92" s="47">
        <v>10</v>
      </c>
      <c r="E92" s="47">
        <v>10</v>
      </c>
      <c r="F92" s="47">
        <v>4</v>
      </c>
      <c r="G92" s="47">
        <v>2</v>
      </c>
      <c r="H92" s="47">
        <v>1</v>
      </c>
    </row>
    <row r="93" spans="1:9">
      <c r="A93" s="7" t="s">
        <v>186</v>
      </c>
      <c r="B93" s="47">
        <v>10.1</v>
      </c>
      <c r="C93" s="47">
        <v>8.5</v>
      </c>
      <c r="D93" s="47">
        <v>0</v>
      </c>
      <c r="E93" s="47">
        <v>2</v>
      </c>
      <c r="F93" s="47">
        <v>0</v>
      </c>
      <c r="G93" s="47">
        <v>0</v>
      </c>
      <c r="H93" s="47">
        <v>0</v>
      </c>
    </row>
    <row r="94" spans="1:9">
      <c r="A94" s="7" t="s">
        <v>187</v>
      </c>
      <c r="B94" s="47">
        <v>7.8</v>
      </c>
      <c r="C94" s="47">
        <v>14.6</v>
      </c>
      <c r="D94" s="47">
        <v>9</v>
      </c>
      <c r="E94" s="47">
        <v>8</v>
      </c>
      <c r="F94" s="47">
        <v>4</v>
      </c>
      <c r="G94" s="47">
        <v>2</v>
      </c>
      <c r="H94" s="47">
        <v>1</v>
      </c>
    </row>
    <row r="95" spans="1:9">
      <c r="A95" s="7" t="s">
        <v>188</v>
      </c>
      <c r="B95" s="47">
        <v>10.1</v>
      </c>
      <c r="C95" s="47">
        <v>19</v>
      </c>
      <c r="D95" s="47">
        <v>3</v>
      </c>
      <c r="E95" s="47">
        <v>4</v>
      </c>
      <c r="F95" s="47">
        <v>2</v>
      </c>
      <c r="G95" s="47">
        <v>2</v>
      </c>
      <c r="H95" s="47">
        <v>1</v>
      </c>
    </row>
    <row r="96" spans="1:9">
      <c r="A96" s="7" t="s">
        <v>189</v>
      </c>
      <c r="B96" s="47">
        <v>6.8</v>
      </c>
      <c r="C96" s="47">
        <v>10</v>
      </c>
      <c r="D96" s="47">
        <v>6</v>
      </c>
      <c r="E96" s="47">
        <v>6</v>
      </c>
      <c r="F96" s="47">
        <v>2</v>
      </c>
      <c r="G96" s="47">
        <v>0</v>
      </c>
      <c r="H96" s="47">
        <v>0</v>
      </c>
    </row>
    <row r="97" spans="1:9">
      <c r="A97" s="58"/>
      <c r="I97" s="7"/>
    </row>
    <row r="98" spans="1:9">
      <c r="I98" s="7"/>
    </row>
    <row r="99" spans="1:9">
      <c r="I99" s="7"/>
    </row>
    <row r="100" spans="1:9">
      <c r="I100" s="7"/>
    </row>
    <row r="101" spans="1:9">
      <c r="I101" s="7"/>
    </row>
    <row r="102" spans="1:9">
      <c r="I102" s="7"/>
    </row>
    <row r="103" spans="1:9">
      <c r="E103" s="7"/>
      <c r="F103" s="7"/>
      <c r="G103" s="7"/>
    </row>
    <row r="111" spans="1:9">
      <c r="B111" s="7"/>
      <c r="C111" s="7"/>
    </row>
    <row r="114" s="7" customFormat="1"/>
  </sheetData>
  <mergeCells count="2">
    <mergeCell ref="O14:Q14"/>
    <mergeCell ref="O15:Q15"/>
  </mergeCells>
  <phoneticPr fontId="2"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AY310"/>
  <sheetViews>
    <sheetView zoomScaleNormal="100" workbookViewId="0">
      <pane ySplit="1" topLeftCell="A37" activePane="bottomLeft" state="frozen"/>
      <selection activeCell="G21" sqref="G21"/>
      <selection pane="bottomLeft" activeCell="G21" sqref="G21"/>
    </sheetView>
  </sheetViews>
  <sheetFormatPr defaultColWidth="9.140625" defaultRowHeight="12.75" customHeight="1"/>
  <cols>
    <col min="1" max="1" width="41.42578125" style="7" customWidth="1"/>
    <col min="2" max="5" width="7.42578125" style="7" customWidth="1"/>
    <col min="6" max="6" width="8" style="7" customWidth="1"/>
    <col min="7" max="12" width="7.42578125" style="7" customWidth="1"/>
    <col min="13" max="15" width="9.140625" style="7"/>
    <col min="16" max="16" width="8.85546875" style="7" customWidth="1"/>
    <col min="17" max="25" width="9.140625" style="7"/>
    <col min="26" max="26" width="15.85546875" style="7" bestFit="1" customWidth="1"/>
    <col min="27" max="38" width="9.140625" style="7"/>
    <col min="39" max="39" width="10.7109375" style="7" customWidth="1"/>
    <col min="40" max="40" width="17.42578125" style="7" bestFit="1" customWidth="1"/>
    <col min="41" max="41" width="7" style="7" bestFit="1" customWidth="1"/>
    <col min="42" max="42" width="6.42578125" style="7" bestFit="1" customWidth="1"/>
    <col min="43" max="43" width="9.85546875" style="7" bestFit="1" customWidth="1"/>
    <col min="44" max="44" width="32.5703125" style="7" bestFit="1" customWidth="1"/>
    <col min="45" max="46" width="9.7109375" style="7" customWidth="1"/>
    <col min="47" max="47" width="12" style="7" bestFit="1" customWidth="1"/>
    <col min="48" max="50" width="9.140625" style="7"/>
    <col min="51" max="51" width="10.85546875" style="7" customWidth="1"/>
    <col min="52" max="16384" width="9.140625" style="7"/>
  </cols>
  <sheetData>
    <row r="1" spans="1:51" ht="27" customHeight="1">
      <c r="A1" s="210" t="str">
        <f>E35</f>
        <v>2024 Q1</v>
      </c>
      <c r="B1" s="92" t="s">
        <v>49</v>
      </c>
      <c r="C1" s="92"/>
      <c r="D1" s="293" t="s">
        <v>296</v>
      </c>
      <c r="E1" s="96"/>
      <c r="F1" s="96"/>
      <c r="G1" s="96"/>
      <c r="H1" s="92"/>
      <c r="I1" s="92"/>
      <c r="J1" s="92"/>
      <c r="K1" s="92"/>
      <c r="L1" s="92"/>
      <c r="M1" s="92"/>
      <c r="N1" s="92" t="s">
        <v>50</v>
      </c>
      <c r="O1" s="92"/>
      <c r="P1" s="293" t="s">
        <v>296</v>
      </c>
      <c r="Q1" s="96"/>
      <c r="R1" s="96"/>
      <c r="S1" s="96"/>
      <c r="T1" s="92"/>
      <c r="U1" s="92"/>
      <c r="V1" s="92"/>
      <c r="W1" s="92"/>
      <c r="X1" s="92"/>
      <c r="Y1" s="92"/>
      <c r="Z1" s="92" t="s">
        <v>51</v>
      </c>
      <c r="AA1" s="92"/>
      <c r="AB1" s="293" t="s">
        <v>296</v>
      </c>
      <c r="AC1" s="92"/>
      <c r="AD1" s="92"/>
      <c r="AE1" s="92"/>
      <c r="AF1" s="92"/>
      <c r="AG1" s="92"/>
      <c r="AH1" s="92"/>
      <c r="AI1" s="92"/>
      <c r="AJ1" s="92"/>
      <c r="AM1" s="341" t="s">
        <v>612</v>
      </c>
      <c r="AN1" s="202" t="s">
        <v>293</v>
      </c>
      <c r="AO1" s="7" t="s">
        <v>256</v>
      </c>
      <c r="AP1" s="7" t="s">
        <v>534</v>
      </c>
      <c r="AQ1" s="7" t="s">
        <v>259</v>
      </c>
      <c r="AR1" s="7" t="s">
        <v>260</v>
      </c>
      <c r="AS1" s="25" t="s">
        <v>261</v>
      </c>
      <c r="AT1" s="25" t="s">
        <v>262</v>
      </c>
      <c r="AU1" s="9" t="s">
        <v>263</v>
      </c>
      <c r="AV1" s="83" t="s">
        <v>554</v>
      </c>
      <c r="AW1" s="342" t="s">
        <v>588</v>
      </c>
      <c r="AX1" s="340"/>
      <c r="AY1" s="7" t="b">
        <f>AND(AX2:AX309)</f>
        <v>1</v>
      </c>
    </row>
    <row r="2" spans="1:51" ht="12.75" customHeight="1">
      <c r="B2" s="7" t="s">
        <v>62</v>
      </c>
      <c r="C2" s="7" t="s">
        <v>94</v>
      </c>
      <c r="D2" s="7" t="s">
        <v>95</v>
      </c>
      <c r="E2" s="7" t="s">
        <v>96</v>
      </c>
      <c r="F2" s="7" t="s">
        <v>123</v>
      </c>
      <c r="G2" s="7" t="s">
        <v>97</v>
      </c>
      <c r="H2" s="7" t="s">
        <v>98</v>
      </c>
      <c r="I2" s="7" t="s">
        <v>99</v>
      </c>
      <c r="J2" s="7" t="s">
        <v>100</v>
      </c>
      <c r="K2" s="7" t="s">
        <v>101</v>
      </c>
      <c r="L2" s="7" t="s">
        <v>102</v>
      </c>
      <c r="N2" s="7" t="s">
        <v>48</v>
      </c>
      <c r="O2" s="7" t="s">
        <v>52</v>
      </c>
      <c r="P2" s="7" t="s">
        <v>53</v>
      </c>
      <c r="Q2" s="7" t="s">
        <v>54</v>
      </c>
      <c r="R2" s="7" t="s">
        <v>556</v>
      </c>
      <c r="S2" s="7" t="s">
        <v>56</v>
      </c>
      <c r="T2" s="7" t="s">
        <v>57</v>
      </c>
      <c r="U2" s="7" t="s">
        <v>58</v>
      </c>
      <c r="V2" s="7" t="s">
        <v>59</v>
      </c>
      <c r="W2" s="7" t="s">
        <v>60</v>
      </c>
      <c r="X2" s="7" t="s">
        <v>61</v>
      </c>
      <c r="Z2" s="7" t="s">
        <v>48</v>
      </c>
      <c r="AA2" s="7" t="s">
        <v>52</v>
      </c>
      <c r="AB2" s="7" t="s">
        <v>53</v>
      </c>
      <c r="AC2" s="7" t="s">
        <v>54</v>
      </c>
      <c r="AD2" s="7" t="s">
        <v>556</v>
      </c>
      <c r="AE2" s="7" t="s">
        <v>56</v>
      </c>
      <c r="AF2" s="7" t="s">
        <v>57</v>
      </c>
      <c r="AG2" s="7" t="s">
        <v>58</v>
      </c>
      <c r="AH2" s="7" t="s">
        <v>59</v>
      </c>
      <c r="AI2" s="7" t="s">
        <v>60</v>
      </c>
      <c r="AJ2" s="7" t="s">
        <v>61</v>
      </c>
      <c r="AN2" s="97" t="s">
        <v>62</v>
      </c>
      <c r="AO2" s="142" t="s">
        <v>233</v>
      </c>
      <c r="AP2" s="142" t="s">
        <v>535</v>
      </c>
      <c r="AQ2" s="86" t="s">
        <v>536</v>
      </c>
      <c r="AR2" s="142" t="s">
        <v>42</v>
      </c>
      <c r="AS2" s="7">
        <v>56622</v>
      </c>
      <c r="AT2" s="7">
        <v>679141</v>
      </c>
      <c r="AU2" s="7">
        <v>1532</v>
      </c>
      <c r="AW2" s="343" t="s">
        <v>536</v>
      </c>
      <c r="AX2" s="142" t="b">
        <f>AQ2=AW2</f>
        <v>1</v>
      </c>
    </row>
    <row r="3" spans="1:51" ht="12.75" customHeight="1">
      <c r="A3" s="7" t="s">
        <v>42</v>
      </c>
      <c r="B3" s="143">
        <f>AS2</f>
        <v>56622</v>
      </c>
      <c r="C3" s="143">
        <f>AS30</f>
        <v>1964</v>
      </c>
      <c r="D3" s="143">
        <f>AS58</f>
        <v>1889</v>
      </c>
      <c r="E3" s="143">
        <f>AS86</f>
        <v>2047</v>
      </c>
      <c r="F3" s="143">
        <f>AS114</f>
        <v>880</v>
      </c>
      <c r="G3" s="143">
        <f>AS142</f>
        <v>3090</v>
      </c>
      <c r="H3" s="143">
        <f>AS170</f>
        <v>11454</v>
      </c>
      <c r="I3" s="143">
        <f>AS198</f>
        <v>4742</v>
      </c>
      <c r="J3" s="143">
        <f>AS226</f>
        <v>10703</v>
      </c>
      <c r="K3" s="143">
        <f>AS254</f>
        <v>2837</v>
      </c>
      <c r="L3" s="143">
        <f>AS282</f>
        <v>1048</v>
      </c>
      <c r="M3" s="7" t="s">
        <v>42</v>
      </c>
      <c r="N3" s="143">
        <f>AT2</f>
        <v>679141</v>
      </c>
      <c r="O3" s="143">
        <f>AT30</f>
        <v>24925</v>
      </c>
      <c r="P3" s="143">
        <f>AT58</f>
        <v>18922</v>
      </c>
      <c r="Q3" s="143">
        <f>AT86</f>
        <v>31112</v>
      </c>
      <c r="R3" s="143">
        <f>AT114</f>
        <v>11729</v>
      </c>
      <c r="S3" s="143">
        <f>AT142</f>
        <v>54347</v>
      </c>
      <c r="T3" s="143">
        <f>AT170</f>
        <v>200203</v>
      </c>
      <c r="U3" s="143">
        <f>AT198</f>
        <v>76896</v>
      </c>
      <c r="V3" s="143">
        <f>AT226</f>
        <v>153563</v>
      </c>
      <c r="W3" s="143">
        <f>AT254</f>
        <v>46225</v>
      </c>
      <c r="X3" s="143">
        <f>AT282</f>
        <v>13665</v>
      </c>
      <c r="Y3" s="7" t="s">
        <v>42</v>
      </c>
      <c r="Z3" s="141">
        <f>AU2</f>
        <v>1532</v>
      </c>
      <c r="AA3" s="141">
        <f>AU30</f>
        <v>1053</v>
      </c>
      <c r="AB3" s="141">
        <f>AU58</f>
        <v>948</v>
      </c>
      <c r="AC3" s="141">
        <f>AU86</f>
        <v>1145</v>
      </c>
      <c r="AD3" s="141">
        <f>AU114</f>
        <v>1025</v>
      </c>
      <c r="AE3" s="141">
        <f>AU142</f>
        <v>1382</v>
      </c>
      <c r="AF3" s="141">
        <f>AU170</f>
        <v>1560</v>
      </c>
      <c r="AG3" s="141">
        <f>AU198</f>
        <v>1283</v>
      </c>
      <c r="AH3" s="141">
        <f>AU226</f>
        <v>1490</v>
      </c>
      <c r="AI3" s="141">
        <f>AU254</f>
        <v>1301</v>
      </c>
      <c r="AJ3" s="141">
        <f>AU282</f>
        <v>1089</v>
      </c>
      <c r="AO3" s="142" t="s">
        <v>233</v>
      </c>
      <c r="AP3" s="142" t="s">
        <v>537</v>
      </c>
      <c r="AQ3" s="86" t="s">
        <v>536</v>
      </c>
      <c r="AR3" s="142" t="s">
        <v>43</v>
      </c>
      <c r="AS3" s="7">
        <v>54609</v>
      </c>
      <c r="AT3" s="7">
        <v>592922</v>
      </c>
      <c r="AU3" s="7">
        <v>1582</v>
      </c>
      <c r="AW3" s="343" t="s">
        <v>536</v>
      </c>
      <c r="AX3" s="142" t="b">
        <f t="shared" ref="AX3:AX66" si="0">AQ3=AW3</f>
        <v>1</v>
      </c>
    </row>
    <row r="4" spans="1:51" ht="12.75" customHeight="1">
      <c r="A4" s="7" t="s">
        <v>43</v>
      </c>
      <c r="B4" s="143">
        <f t="shared" ref="B4:B30" si="1">AS3</f>
        <v>54609</v>
      </c>
      <c r="C4" s="143">
        <f t="shared" ref="C4:C30" si="2">AS31</f>
        <v>1859</v>
      </c>
      <c r="D4" s="143">
        <f t="shared" ref="D4:D30" si="3">AS59</f>
        <v>1772</v>
      </c>
      <c r="E4" s="143">
        <f t="shared" ref="E4:E30" si="4">AS87</f>
        <v>1924</v>
      </c>
      <c r="F4" s="143">
        <f t="shared" ref="F4:F30" si="5">AS115</f>
        <v>746</v>
      </c>
      <c r="G4" s="143">
        <f t="shared" ref="G4:G30" si="6">AS143</f>
        <v>2886</v>
      </c>
      <c r="H4" s="143">
        <f t="shared" ref="H4:H30" si="7">AS171</f>
        <v>11185</v>
      </c>
      <c r="I4" s="143">
        <f t="shared" ref="I4:I30" si="8">AS199</f>
        <v>4231</v>
      </c>
      <c r="J4" s="143">
        <f t="shared" ref="J4:J30" si="9">AS227</f>
        <v>10409</v>
      </c>
      <c r="K4" s="143">
        <f t="shared" ref="K4:K30" si="10">AS255</f>
        <v>2733</v>
      </c>
      <c r="L4" s="143">
        <f t="shared" ref="L4:L30" si="11">AS283</f>
        <v>955</v>
      </c>
      <c r="M4" s="7" t="s">
        <v>43</v>
      </c>
      <c r="N4" s="143">
        <f t="shared" ref="N4:N30" si="12">AT3</f>
        <v>592922</v>
      </c>
      <c r="O4" s="143">
        <f t="shared" ref="O4:O30" si="13">AT31</f>
        <v>20514</v>
      </c>
      <c r="P4" s="143">
        <f t="shared" ref="P4:P30" si="14">AT59</f>
        <v>15895</v>
      </c>
      <c r="Q4" s="143">
        <f t="shared" ref="Q4:Q30" si="15">AT87</f>
        <v>26520</v>
      </c>
      <c r="R4" s="143">
        <f t="shared" ref="R4:R30" si="16">AT115</f>
        <v>8919</v>
      </c>
      <c r="S4" s="143">
        <f t="shared" ref="S4:S30" si="17">AT143</f>
        <v>47744</v>
      </c>
      <c r="T4" s="143">
        <f t="shared" ref="T4:T30" si="18">AT171</f>
        <v>178180</v>
      </c>
      <c r="U4" s="143">
        <f t="shared" ref="U4:U30" si="19">AT199</f>
        <v>60807</v>
      </c>
      <c r="V4" s="143">
        <f t="shared" ref="V4:V30" si="20">AT227</f>
        <v>138512</v>
      </c>
      <c r="W4" s="143">
        <f t="shared" ref="W4:W30" si="21">AT255</f>
        <v>37122</v>
      </c>
      <c r="X4" s="143">
        <f t="shared" ref="X4:X30" si="22">AT283</f>
        <v>11376</v>
      </c>
      <c r="Y4" s="7" t="s">
        <v>43</v>
      </c>
      <c r="Z4" s="141">
        <f t="shared" ref="Z4:Z30" si="23">AU3</f>
        <v>1582</v>
      </c>
      <c r="AA4" s="141">
        <f t="shared" ref="AA4:AA30" si="24">AU31</f>
        <v>1074</v>
      </c>
      <c r="AB4" s="141">
        <f t="shared" ref="AB4:AB30" si="25">AU59</f>
        <v>951</v>
      </c>
      <c r="AC4" s="141">
        <f t="shared" ref="AC4:AC30" si="26">AU87</f>
        <v>1178</v>
      </c>
      <c r="AD4" s="141">
        <f t="shared" ref="AD4:AD30" si="27">AU115</f>
        <v>1031</v>
      </c>
      <c r="AE4" s="141">
        <f t="shared" ref="AE4:AE30" si="28">AU143</f>
        <v>1428</v>
      </c>
      <c r="AF4" s="141">
        <f t="shared" ref="AF4:AF30" si="29">AU171</f>
        <v>1588</v>
      </c>
      <c r="AG4" s="141">
        <f t="shared" ref="AG4:AG30" si="30">AU199</f>
        <v>1293</v>
      </c>
      <c r="AH4" s="141">
        <f t="shared" ref="AH4:AH30" si="31">AU227</f>
        <v>1523</v>
      </c>
      <c r="AI4" s="141">
        <f t="shared" ref="AI4:AI30" si="32">AU255</f>
        <v>1321</v>
      </c>
      <c r="AJ4" s="141">
        <f t="shared" ref="AJ4:AJ30" si="33">AU283</f>
        <v>1115</v>
      </c>
      <c r="AO4" s="142" t="s">
        <v>233</v>
      </c>
      <c r="AP4" s="142" t="s">
        <v>537</v>
      </c>
      <c r="AQ4" s="142" t="s">
        <v>265</v>
      </c>
      <c r="AR4" s="142" t="s">
        <v>20</v>
      </c>
      <c r="AS4" s="7">
        <v>6907</v>
      </c>
      <c r="AT4" s="7">
        <v>101675</v>
      </c>
      <c r="AU4" s="7">
        <v>1798</v>
      </c>
      <c r="AW4" s="343" t="s">
        <v>265</v>
      </c>
      <c r="AX4" s="142" t="b">
        <f t="shared" si="0"/>
        <v>1</v>
      </c>
    </row>
    <row r="5" spans="1:51" ht="12.75" customHeight="1">
      <c r="A5" s="7" t="s">
        <v>20</v>
      </c>
      <c r="B5" s="143">
        <f t="shared" si="1"/>
        <v>6907</v>
      </c>
      <c r="C5" s="143">
        <f t="shared" si="2"/>
        <v>341</v>
      </c>
      <c r="D5" s="143">
        <f t="shared" si="3"/>
        <v>335</v>
      </c>
      <c r="E5" s="143">
        <f t="shared" si="4"/>
        <v>445</v>
      </c>
      <c r="F5" s="143">
        <f t="shared" si="5"/>
        <v>131</v>
      </c>
      <c r="G5" s="143">
        <f t="shared" si="6"/>
        <v>435</v>
      </c>
      <c r="H5" s="143">
        <f t="shared" si="7"/>
        <v>1821</v>
      </c>
      <c r="I5" s="143">
        <f t="shared" si="8"/>
        <v>730</v>
      </c>
      <c r="J5" s="143">
        <f t="shared" si="9"/>
        <v>1572</v>
      </c>
      <c r="K5" s="143">
        <f t="shared" si="10"/>
        <v>459</v>
      </c>
      <c r="L5" s="143">
        <f t="shared" si="11"/>
        <v>224</v>
      </c>
      <c r="M5" s="7" t="s">
        <v>20</v>
      </c>
      <c r="N5" s="143">
        <f t="shared" si="12"/>
        <v>101675</v>
      </c>
      <c r="O5" s="143">
        <f t="shared" si="13"/>
        <v>3572</v>
      </c>
      <c r="P5" s="143">
        <f t="shared" si="14"/>
        <v>2085</v>
      </c>
      <c r="Q5" s="143">
        <f t="shared" si="15"/>
        <v>7133</v>
      </c>
      <c r="R5" s="143">
        <f t="shared" si="16"/>
        <v>1311</v>
      </c>
      <c r="S5" s="143">
        <f t="shared" si="17"/>
        <v>6547</v>
      </c>
      <c r="T5" s="143">
        <f t="shared" si="18"/>
        <v>34395</v>
      </c>
      <c r="U5" s="143">
        <f t="shared" si="19"/>
        <v>9973</v>
      </c>
      <c r="V5" s="143">
        <f t="shared" si="20"/>
        <v>24594</v>
      </c>
      <c r="W5" s="143">
        <f t="shared" si="21"/>
        <v>6659</v>
      </c>
      <c r="X5" s="143">
        <f t="shared" si="22"/>
        <v>3918</v>
      </c>
      <c r="Y5" s="7" t="s">
        <v>20</v>
      </c>
      <c r="Z5" s="141">
        <f t="shared" si="23"/>
        <v>1798</v>
      </c>
      <c r="AA5" s="141">
        <f t="shared" si="24"/>
        <v>1368</v>
      </c>
      <c r="AB5" s="141">
        <f t="shared" si="25"/>
        <v>1079</v>
      </c>
      <c r="AC5" s="141">
        <f t="shared" si="26"/>
        <v>1480</v>
      </c>
      <c r="AD5" s="141">
        <f t="shared" si="27"/>
        <v>1337</v>
      </c>
      <c r="AE5" s="141">
        <f t="shared" si="28"/>
        <v>1374</v>
      </c>
      <c r="AF5" s="141">
        <f t="shared" si="29"/>
        <v>2213</v>
      </c>
      <c r="AG5" s="141">
        <f t="shared" si="30"/>
        <v>1472</v>
      </c>
      <c r="AH5" s="141">
        <f t="shared" si="31"/>
        <v>1804</v>
      </c>
      <c r="AI5" s="141">
        <f t="shared" si="32"/>
        <v>1505</v>
      </c>
      <c r="AJ5" s="141">
        <f t="shared" si="33"/>
        <v>1351</v>
      </c>
      <c r="AO5" s="142" t="s">
        <v>233</v>
      </c>
      <c r="AP5" s="142" t="s">
        <v>537</v>
      </c>
      <c r="AQ5" s="142" t="s">
        <v>266</v>
      </c>
      <c r="AR5" s="142" t="s">
        <v>21</v>
      </c>
      <c r="AS5" s="7">
        <v>244</v>
      </c>
      <c r="AT5" s="7">
        <v>1814</v>
      </c>
      <c r="AU5" s="7">
        <v>969</v>
      </c>
      <c r="AW5" s="343" t="s">
        <v>266</v>
      </c>
      <c r="AX5" s="142" t="b">
        <f t="shared" si="0"/>
        <v>1</v>
      </c>
    </row>
    <row r="6" spans="1:51" ht="12.75" customHeight="1">
      <c r="A6" s="7" t="s">
        <v>21</v>
      </c>
      <c r="B6" s="143">
        <f t="shared" si="1"/>
        <v>244</v>
      </c>
      <c r="C6" s="143" t="str">
        <f t="shared" si="2"/>
        <v>n</v>
      </c>
      <c r="D6" s="143" t="str">
        <f t="shared" si="3"/>
        <v>n</v>
      </c>
      <c r="E6" s="143" t="str">
        <f t="shared" si="4"/>
        <v>n</v>
      </c>
      <c r="F6" s="143" t="str">
        <f t="shared" si="5"/>
        <v>n</v>
      </c>
      <c r="G6" s="143">
        <f t="shared" si="6"/>
        <v>34</v>
      </c>
      <c r="H6" s="143">
        <f t="shared" si="7"/>
        <v>32</v>
      </c>
      <c r="I6" s="143">
        <f t="shared" si="8"/>
        <v>35</v>
      </c>
      <c r="J6" s="143">
        <f t="shared" si="9"/>
        <v>28</v>
      </c>
      <c r="K6" s="143" t="str">
        <f t="shared" si="10"/>
        <v>n</v>
      </c>
      <c r="L6" s="143" t="str">
        <f t="shared" si="11"/>
        <v>n</v>
      </c>
      <c r="M6" s="7" t="s">
        <v>21</v>
      </c>
      <c r="N6" s="143">
        <f t="shared" si="12"/>
        <v>1814</v>
      </c>
      <c r="O6" s="143" t="str">
        <f t="shared" si="13"/>
        <v>n</v>
      </c>
      <c r="P6" s="143" t="str">
        <f t="shared" si="14"/>
        <v>n</v>
      </c>
      <c r="Q6" s="143" t="str">
        <f t="shared" si="15"/>
        <v>n</v>
      </c>
      <c r="R6" s="143" t="str">
        <f t="shared" si="16"/>
        <v>n</v>
      </c>
      <c r="S6" s="143">
        <f t="shared" si="17"/>
        <v>302</v>
      </c>
      <c r="T6" s="143">
        <f t="shared" si="18"/>
        <v>178</v>
      </c>
      <c r="U6" s="143">
        <f t="shared" si="19"/>
        <v>444</v>
      </c>
      <c r="V6" s="143">
        <f t="shared" si="20"/>
        <v>188</v>
      </c>
      <c r="W6" s="143" t="str">
        <f t="shared" si="21"/>
        <v>n</v>
      </c>
      <c r="X6" s="143" t="str">
        <f t="shared" si="22"/>
        <v>n</v>
      </c>
      <c r="Y6" s="7" t="s">
        <v>21</v>
      </c>
      <c r="Z6" s="141">
        <f t="shared" si="23"/>
        <v>969</v>
      </c>
      <c r="AA6" s="141" t="str">
        <f t="shared" si="24"/>
        <v>n</v>
      </c>
      <c r="AB6" s="141" t="str">
        <f t="shared" si="25"/>
        <v>n</v>
      </c>
      <c r="AC6" s="141" t="str">
        <f t="shared" si="26"/>
        <v>n</v>
      </c>
      <c r="AD6" s="141" t="str">
        <f t="shared" si="27"/>
        <v>n</v>
      </c>
      <c r="AE6" s="141">
        <f t="shared" si="28"/>
        <v>1542</v>
      </c>
      <c r="AF6" s="141">
        <f t="shared" si="29"/>
        <v>924</v>
      </c>
      <c r="AG6" s="141">
        <f t="shared" si="30"/>
        <v>1109</v>
      </c>
      <c r="AH6" s="141">
        <f t="shared" si="31"/>
        <v>685</v>
      </c>
      <c r="AI6" s="141" t="str">
        <f t="shared" si="32"/>
        <v>n</v>
      </c>
      <c r="AJ6" s="141" t="str">
        <f t="shared" si="33"/>
        <v>n</v>
      </c>
      <c r="AO6" s="142" t="s">
        <v>233</v>
      </c>
      <c r="AP6" s="142" t="s">
        <v>537</v>
      </c>
      <c r="AQ6" s="142" t="s">
        <v>267</v>
      </c>
      <c r="AR6" s="142" t="s">
        <v>22</v>
      </c>
      <c r="AS6" s="7">
        <v>53</v>
      </c>
      <c r="AT6" s="7">
        <v>458</v>
      </c>
      <c r="AU6" s="7">
        <v>1409</v>
      </c>
      <c r="AW6" s="343" t="s">
        <v>267</v>
      </c>
      <c r="AX6" s="142" t="b">
        <f t="shared" si="0"/>
        <v>1</v>
      </c>
    </row>
    <row r="7" spans="1:51" ht="12.75" customHeight="1">
      <c r="A7" s="7" t="s">
        <v>22</v>
      </c>
      <c r="B7" s="143">
        <f t="shared" si="1"/>
        <v>53</v>
      </c>
      <c r="C7" s="143" t="str">
        <f t="shared" si="2"/>
        <v>n</v>
      </c>
      <c r="D7" s="143" t="str">
        <f t="shared" si="3"/>
        <v>n</v>
      </c>
      <c r="E7" s="143" t="str">
        <f t="shared" si="4"/>
        <v>n</v>
      </c>
      <c r="F7" s="143" t="str">
        <f t="shared" si="5"/>
        <v>n</v>
      </c>
      <c r="G7" s="143">
        <f t="shared" si="6"/>
        <v>4</v>
      </c>
      <c r="H7" s="143">
        <f t="shared" si="7"/>
        <v>7</v>
      </c>
      <c r="I7" s="143">
        <f t="shared" si="8"/>
        <v>17</v>
      </c>
      <c r="J7" s="143">
        <f t="shared" si="9"/>
        <v>6</v>
      </c>
      <c r="K7" s="143" t="str">
        <f t="shared" si="10"/>
        <v>n</v>
      </c>
      <c r="L7" s="143" t="str">
        <f t="shared" si="11"/>
        <v>n</v>
      </c>
      <c r="M7" s="7" t="s">
        <v>22</v>
      </c>
      <c r="N7" s="143">
        <f t="shared" si="12"/>
        <v>458</v>
      </c>
      <c r="O7" s="143" t="str">
        <f t="shared" si="13"/>
        <v>n</v>
      </c>
      <c r="P7" s="143" t="str">
        <f t="shared" si="14"/>
        <v>n</v>
      </c>
      <c r="Q7" s="143" t="str">
        <f t="shared" si="15"/>
        <v>n</v>
      </c>
      <c r="R7" s="143" t="str">
        <f t="shared" si="16"/>
        <v>n</v>
      </c>
      <c r="S7" s="143">
        <f t="shared" si="17"/>
        <v>30</v>
      </c>
      <c r="T7" s="143">
        <f t="shared" si="18"/>
        <v>51</v>
      </c>
      <c r="U7" s="143">
        <f t="shared" si="19"/>
        <v>199</v>
      </c>
      <c r="V7" s="143">
        <f t="shared" si="20"/>
        <v>27</v>
      </c>
      <c r="W7" s="143" t="str">
        <f t="shared" si="21"/>
        <v>n</v>
      </c>
      <c r="X7" s="143" t="str">
        <f t="shared" si="22"/>
        <v>n</v>
      </c>
      <c r="Y7" s="7" t="s">
        <v>22</v>
      </c>
      <c r="Z7" s="141">
        <f t="shared" si="23"/>
        <v>1409</v>
      </c>
      <c r="AA7" s="141" t="str">
        <f t="shared" si="24"/>
        <v>n</v>
      </c>
      <c r="AB7" s="141" t="str">
        <f t="shared" si="25"/>
        <v>n</v>
      </c>
      <c r="AC7" s="141" t="str">
        <f t="shared" si="26"/>
        <v>n</v>
      </c>
      <c r="AD7" s="141" t="str">
        <f t="shared" si="27"/>
        <v>n</v>
      </c>
      <c r="AE7" s="141">
        <f t="shared" si="28"/>
        <v>1336</v>
      </c>
      <c r="AF7" s="141">
        <f t="shared" si="29"/>
        <v>1443</v>
      </c>
      <c r="AG7" s="141">
        <f t="shared" si="30"/>
        <v>1530</v>
      </c>
      <c r="AH7" s="141">
        <f t="shared" si="31"/>
        <v>1138</v>
      </c>
      <c r="AI7" s="141" t="str">
        <f t="shared" si="32"/>
        <v>n</v>
      </c>
      <c r="AJ7" s="141" t="str">
        <f t="shared" si="33"/>
        <v>n</v>
      </c>
      <c r="AO7" s="142" t="s">
        <v>233</v>
      </c>
      <c r="AP7" s="142" t="s">
        <v>537</v>
      </c>
      <c r="AQ7" s="142" t="s">
        <v>268</v>
      </c>
      <c r="AR7" s="142" t="s">
        <v>23</v>
      </c>
      <c r="AS7" s="7">
        <v>4690</v>
      </c>
      <c r="AT7" s="7">
        <v>30444</v>
      </c>
      <c r="AU7" s="7">
        <v>1551</v>
      </c>
      <c r="AW7" s="343" t="s">
        <v>268</v>
      </c>
      <c r="AX7" s="142" t="b">
        <f t="shared" si="0"/>
        <v>1</v>
      </c>
    </row>
    <row r="8" spans="1:51" ht="12.75" customHeight="1">
      <c r="A8" s="7" t="s">
        <v>23</v>
      </c>
      <c r="B8" s="143">
        <f t="shared" si="1"/>
        <v>4690</v>
      </c>
      <c r="C8" s="143">
        <f t="shared" si="2"/>
        <v>252</v>
      </c>
      <c r="D8" s="143">
        <f t="shared" si="3"/>
        <v>246</v>
      </c>
      <c r="E8" s="143">
        <f t="shared" si="4"/>
        <v>287</v>
      </c>
      <c r="F8" s="143">
        <f t="shared" si="5"/>
        <v>67</v>
      </c>
      <c r="G8" s="143">
        <f t="shared" si="6"/>
        <v>291</v>
      </c>
      <c r="H8" s="143">
        <f t="shared" si="7"/>
        <v>1227</v>
      </c>
      <c r="I8" s="143">
        <f t="shared" si="8"/>
        <v>483</v>
      </c>
      <c r="J8" s="143">
        <f t="shared" si="9"/>
        <v>1082</v>
      </c>
      <c r="K8" s="143">
        <f t="shared" si="10"/>
        <v>299</v>
      </c>
      <c r="L8" s="143">
        <f t="shared" si="11"/>
        <v>128</v>
      </c>
      <c r="M8" s="7" t="s">
        <v>23</v>
      </c>
      <c r="N8" s="143">
        <f t="shared" si="12"/>
        <v>30444</v>
      </c>
      <c r="O8" s="143">
        <f t="shared" si="13"/>
        <v>1397</v>
      </c>
      <c r="P8" s="143">
        <f t="shared" si="14"/>
        <v>1159</v>
      </c>
      <c r="Q8" s="143">
        <f t="shared" si="15"/>
        <v>1894</v>
      </c>
      <c r="R8" s="143">
        <f t="shared" si="16"/>
        <v>506</v>
      </c>
      <c r="S8" s="143">
        <f t="shared" si="17"/>
        <v>1590</v>
      </c>
      <c r="T8" s="143">
        <f t="shared" si="18"/>
        <v>8796</v>
      </c>
      <c r="U8" s="143">
        <f t="shared" si="19"/>
        <v>3593</v>
      </c>
      <c r="V8" s="143">
        <f t="shared" si="20"/>
        <v>8057</v>
      </c>
      <c r="W8" s="143">
        <f t="shared" si="21"/>
        <v>1586</v>
      </c>
      <c r="X8" s="143">
        <f t="shared" si="22"/>
        <v>596</v>
      </c>
      <c r="Y8" s="7" t="s">
        <v>23</v>
      </c>
      <c r="Z8" s="141">
        <f t="shared" si="23"/>
        <v>1551</v>
      </c>
      <c r="AA8" s="141">
        <f t="shared" si="24"/>
        <v>1500</v>
      </c>
      <c r="AB8" s="141">
        <f t="shared" si="25"/>
        <v>1166</v>
      </c>
      <c r="AC8" s="141">
        <f t="shared" si="26"/>
        <v>1575</v>
      </c>
      <c r="AD8" s="141">
        <f t="shared" si="27"/>
        <v>1936</v>
      </c>
      <c r="AE8" s="141">
        <f t="shared" si="28"/>
        <v>1169</v>
      </c>
      <c r="AF8" s="141">
        <f t="shared" si="29"/>
        <v>1553</v>
      </c>
      <c r="AG8" s="141">
        <f t="shared" si="30"/>
        <v>1471</v>
      </c>
      <c r="AH8" s="141">
        <f t="shared" si="31"/>
        <v>1658</v>
      </c>
      <c r="AI8" s="141">
        <f t="shared" si="32"/>
        <v>1305</v>
      </c>
      <c r="AJ8" s="141">
        <f t="shared" si="33"/>
        <v>1070</v>
      </c>
      <c r="AO8" s="142" t="s">
        <v>233</v>
      </c>
      <c r="AP8" s="142" t="s">
        <v>537</v>
      </c>
      <c r="AQ8" s="142" t="s">
        <v>538</v>
      </c>
      <c r="AR8" s="142" t="s">
        <v>24</v>
      </c>
      <c r="AS8" s="7">
        <v>1920</v>
      </c>
      <c r="AT8" s="7">
        <v>68959</v>
      </c>
      <c r="AU8" s="7">
        <v>1931</v>
      </c>
      <c r="AW8" s="343" t="s">
        <v>538</v>
      </c>
      <c r="AX8" s="142" t="b">
        <f t="shared" si="0"/>
        <v>1</v>
      </c>
    </row>
    <row r="9" spans="1:51" ht="12.75" customHeight="1">
      <c r="A9" s="7" t="s">
        <v>24</v>
      </c>
      <c r="B9" s="143">
        <f t="shared" si="1"/>
        <v>1920</v>
      </c>
      <c r="C9" s="143">
        <f t="shared" si="2"/>
        <v>74</v>
      </c>
      <c r="D9" s="143">
        <f t="shared" si="3"/>
        <v>69</v>
      </c>
      <c r="E9" s="143">
        <f t="shared" si="4"/>
        <v>126</v>
      </c>
      <c r="F9" s="143">
        <f t="shared" si="5"/>
        <v>40</v>
      </c>
      <c r="G9" s="143">
        <f t="shared" si="6"/>
        <v>106</v>
      </c>
      <c r="H9" s="143">
        <f t="shared" si="7"/>
        <v>555</v>
      </c>
      <c r="I9" s="143">
        <f t="shared" si="8"/>
        <v>195</v>
      </c>
      <c r="J9" s="143">
        <f t="shared" si="9"/>
        <v>456</v>
      </c>
      <c r="K9" s="143">
        <f t="shared" si="10"/>
        <v>146</v>
      </c>
      <c r="L9" s="143">
        <f t="shared" si="11"/>
        <v>76</v>
      </c>
      <c r="M9" s="7" t="s">
        <v>24</v>
      </c>
      <c r="N9" s="143">
        <f t="shared" si="12"/>
        <v>68959</v>
      </c>
      <c r="O9" s="143">
        <f t="shared" si="13"/>
        <v>2066</v>
      </c>
      <c r="P9" s="143">
        <f t="shared" si="14"/>
        <v>848</v>
      </c>
      <c r="Q9" s="143">
        <f t="shared" si="15"/>
        <v>5053</v>
      </c>
      <c r="R9" s="143">
        <f t="shared" si="16"/>
        <v>654</v>
      </c>
      <c r="S9" s="143">
        <f t="shared" si="17"/>
        <v>4624</v>
      </c>
      <c r="T9" s="143">
        <f t="shared" si="18"/>
        <v>25370</v>
      </c>
      <c r="U9" s="143">
        <f t="shared" si="19"/>
        <v>5737</v>
      </c>
      <c r="V9" s="143">
        <f t="shared" si="20"/>
        <v>16322</v>
      </c>
      <c r="W9" s="143">
        <f t="shared" si="21"/>
        <v>4933</v>
      </c>
      <c r="X9" s="143">
        <f t="shared" si="22"/>
        <v>3145</v>
      </c>
      <c r="Y9" s="7" t="s">
        <v>24</v>
      </c>
      <c r="Z9" s="141">
        <f t="shared" si="23"/>
        <v>1931</v>
      </c>
      <c r="AA9" s="141">
        <f t="shared" si="24"/>
        <v>1284</v>
      </c>
      <c r="AB9" s="141">
        <f t="shared" si="25"/>
        <v>979</v>
      </c>
      <c r="AC9" s="141">
        <f t="shared" si="26"/>
        <v>1474</v>
      </c>
      <c r="AD9" s="141">
        <f t="shared" si="27"/>
        <v>985</v>
      </c>
      <c r="AE9" s="141">
        <f t="shared" si="28"/>
        <v>1433</v>
      </c>
      <c r="AF9" s="141">
        <f t="shared" si="29"/>
        <v>2452</v>
      </c>
      <c r="AG9" s="141">
        <f t="shared" si="30"/>
        <v>1498</v>
      </c>
      <c r="AH9" s="141">
        <f t="shared" si="31"/>
        <v>1890</v>
      </c>
      <c r="AI9" s="141">
        <f t="shared" si="32"/>
        <v>1592</v>
      </c>
      <c r="AJ9" s="141">
        <f t="shared" si="33"/>
        <v>1441</v>
      </c>
      <c r="AO9" s="142" t="s">
        <v>233</v>
      </c>
      <c r="AP9" s="142" t="s">
        <v>537</v>
      </c>
      <c r="AQ9" s="142" t="s">
        <v>269</v>
      </c>
      <c r="AR9" s="142" t="s">
        <v>25</v>
      </c>
      <c r="AS9" s="7">
        <v>47702</v>
      </c>
      <c r="AT9" s="7">
        <v>491247</v>
      </c>
      <c r="AU9" s="7">
        <v>1537</v>
      </c>
      <c r="AW9" s="343" t="s">
        <v>269</v>
      </c>
      <c r="AX9" s="142" t="b">
        <f t="shared" si="0"/>
        <v>1</v>
      </c>
    </row>
    <row r="10" spans="1:51" ht="12.75" customHeight="1">
      <c r="A10" s="7" t="s">
        <v>25</v>
      </c>
      <c r="B10" s="143">
        <f>AS9</f>
        <v>47702</v>
      </c>
      <c r="C10" s="143">
        <f t="shared" si="2"/>
        <v>1518</v>
      </c>
      <c r="D10" s="143">
        <f t="shared" si="3"/>
        <v>1437</v>
      </c>
      <c r="E10" s="143">
        <f t="shared" si="4"/>
        <v>1479</v>
      </c>
      <c r="F10" s="143">
        <f t="shared" si="5"/>
        <v>615</v>
      </c>
      <c r="G10" s="143">
        <f t="shared" si="6"/>
        <v>2451</v>
      </c>
      <c r="H10" s="143">
        <f t="shared" si="7"/>
        <v>9364</v>
      </c>
      <c r="I10" s="143">
        <f t="shared" si="8"/>
        <v>3501</v>
      </c>
      <c r="J10" s="143">
        <f t="shared" si="9"/>
        <v>8837</v>
      </c>
      <c r="K10" s="143">
        <f t="shared" si="10"/>
        <v>2274</v>
      </c>
      <c r="L10" s="143">
        <f t="shared" si="11"/>
        <v>731</v>
      </c>
      <c r="M10" s="7" t="s">
        <v>25</v>
      </c>
      <c r="N10" s="143">
        <f t="shared" si="12"/>
        <v>491247</v>
      </c>
      <c r="O10" s="143">
        <f t="shared" si="13"/>
        <v>16942</v>
      </c>
      <c r="P10" s="143">
        <f t="shared" si="14"/>
        <v>13810</v>
      </c>
      <c r="Q10" s="143">
        <f t="shared" si="15"/>
        <v>19387</v>
      </c>
      <c r="R10" s="143">
        <f t="shared" si="16"/>
        <v>7608</v>
      </c>
      <c r="S10" s="143">
        <f t="shared" si="17"/>
        <v>41197</v>
      </c>
      <c r="T10" s="143">
        <f t="shared" si="18"/>
        <v>143784</v>
      </c>
      <c r="U10" s="143">
        <f t="shared" si="19"/>
        <v>50834</v>
      </c>
      <c r="V10" s="143">
        <f t="shared" si="20"/>
        <v>113919</v>
      </c>
      <c r="W10" s="143">
        <f t="shared" si="21"/>
        <v>30463</v>
      </c>
      <c r="X10" s="143">
        <f t="shared" si="22"/>
        <v>7457</v>
      </c>
      <c r="Y10" s="7" t="s">
        <v>25</v>
      </c>
      <c r="Z10" s="141">
        <f t="shared" si="23"/>
        <v>1537</v>
      </c>
      <c r="AA10" s="141">
        <f t="shared" si="24"/>
        <v>1012</v>
      </c>
      <c r="AB10" s="141">
        <f t="shared" si="25"/>
        <v>932</v>
      </c>
      <c r="AC10" s="141">
        <f t="shared" si="26"/>
        <v>1067</v>
      </c>
      <c r="AD10" s="141">
        <f t="shared" si="27"/>
        <v>978</v>
      </c>
      <c r="AE10" s="141">
        <f t="shared" si="28"/>
        <v>1436</v>
      </c>
      <c r="AF10" s="141">
        <f t="shared" si="29"/>
        <v>1438</v>
      </c>
      <c r="AG10" s="141">
        <f t="shared" si="30"/>
        <v>1258</v>
      </c>
      <c r="AH10" s="141">
        <f t="shared" si="31"/>
        <v>1462</v>
      </c>
      <c r="AI10" s="141">
        <f t="shared" si="32"/>
        <v>1280</v>
      </c>
      <c r="AJ10" s="141">
        <f t="shared" si="33"/>
        <v>990</v>
      </c>
      <c r="AO10" s="142" t="s">
        <v>233</v>
      </c>
      <c r="AP10" s="142" t="s">
        <v>537</v>
      </c>
      <c r="AQ10" s="142" t="s">
        <v>270</v>
      </c>
      <c r="AR10" s="142" t="s">
        <v>26</v>
      </c>
      <c r="AS10" s="7">
        <v>102</v>
      </c>
      <c r="AT10" s="7">
        <v>2112</v>
      </c>
      <c r="AU10" s="7">
        <v>2909</v>
      </c>
      <c r="AW10" s="343" t="s">
        <v>270</v>
      </c>
      <c r="AX10" s="142" t="b">
        <f t="shared" si="0"/>
        <v>1</v>
      </c>
    </row>
    <row r="11" spans="1:51" ht="12.75" customHeight="1">
      <c r="A11" s="7" t="s">
        <v>26</v>
      </c>
      <c r="B11" s="143">
        <f t="shared" si="1"/>
        <v>102</v>
      </c>
      <c r="C11" s="143">
        <f t="shared" si="2"/>
        <v>7</v>
      </c>
      <c r="D11" s="143">
        <f t="shared" si="3"/>
        <v>7</v>
      </c>
      <c r="E11" s="143" t="str">
        <f t="shared" si="4"/>
        <v>n</v>
      </c>
      <c r="F11" s="143">
        <f t="shared" si="5"/>
        <v>10</v>
      </c>
      <c r="G11" s="143">
        <f t="shared" si="6"/>
        <v>8</v>
      </c>
      <c r="H11" s="143">
        <f t="shared" si="7"/>
        <v>14</v>
      </c>
      <c r="I11" s="143">
        <f t="shared" si="8"/>
        <v>12</v>
      </c>
      <c r="J11" s="143">
        <f t="shared" si="9"/>
        <v>21</v>
      </c>
      <c r="K11" s="143" t="str">
        <f t="shared" si="10"/>
        <v>n</v>
      </c>
      <c r="L11" s="143">
        <f t="shared" si="11"/>
        <v>6</v>
      </c>
      <c r="M11" s="7" t="s">
        <v>26</v>
      </c>
      <c r="N11" s="143">
        <f t="shared" si="12"/>
        <v>2112</v>
      </c>
      <c r="O11" s="143">
        <f t="shared" si="13"/>
        <v>190</v>
      </c>
      <c r="P11" s="143">
        <f t="shared" si="14"/>
        <v>48</v>
      </c>
      <c r="Q11" s="143" t="str">
        <f t="shared" si="15"/>
        <v>n</v>
      </c>
      <c r="R11" s="143">
        <f t="shared" si="16"/>
        <v>138</v>
      </c>
      <c r="S11" s="143">
        <f t="shared" si="17"/>
        <v>111</v>
      </c>
      <c r="T11" s="143">
        <f t="shared" si="18"/>
        <v>375</v>
      </c>
      <c r="U11" s="143">
        <f t="shared" si="19"/>
        <v>320</v>
      </c>
      <c r="V11" s="143">
        <f t="shared" si="20"/>
        <v>635</v>
      </c>
      <c r="W11" s="143" t="str">
        <f t="shared" si="21"/>
        <v>n</v>
      </c>
      <c r="X11" s="143">
        <f t="shared" si="22"/>
        <v>90</v>
      </c>
      <c r="Y11" s="7" t="s">
        <v>26</v>
      </c>
      <c r="Z11" s="141">
        <f t="shared" si="23"/>
        <v>2909</v>
      </c>
      <c r="AA11" s="141">
        <f t="shared" si="24"/>
        <v>1937</v>
      </c>
      <c r="AB11" s="141">
        <f t="shared" si="25"/>
        <v>2342</v>
      </c>
      <c r="AC11" s="141" t="str">
        <f t="shared" si="26"/>
        <v>n</v>
      </c>
      <c r="AD11" s="141">
        <f t="shared" si="27"/>
        <v>2465</v>
      </c>
      <c r="AE11" s="141">
        <f t="shared" si="28"/>
        <v>2582</v>
      </c>
      <c r="AF11" s="141">
        <f t="shared" si="29"/>
        <v>2725</v>
      </c>
      <c r="AG11" s="141">
        <f t="shared" si="30"/>
        <v>2885</v>
      </c>
      <c r="AH11" s="141">
        <f t="shared" si="31"/>
        <v>3421</v>
      </c>
      <c r="AI11" s="141" t="str">
        <f t="shared" si="32"/>
        <v>n</v>
      </c>
      <c r="AJ11" s="141">
        <f t="shared" si="33"/>
        <v>2625</v>
      </c>
      <c r="AO11" s="142" t="s">
        <v>233</v>
      </c>
      <c r="AP11" s="142" t="s">
        <v>537</v>
      </c>
      <c r="AQ11" s="142" t="s">
        <v>271</v>
      </c>
      <c r="AR11" s="142" t="s">
        <v>27</v>
      </c>
      <c r="AS11" s="7">
        <v>5046</v>
      </c>
      <c r="AT11" s="7">
        <v>30342</v>
      </c>
      <c r="AU11" s="7">
        <v>2676</v>
      </c>
      <c r="AW11" s="343" t="s">
        <v>271</v>
      </c>
      <c r="AX11" s="142" t="b">
        <f t="shared" si="0"/>
        <v>1</v>
      </c>
    </row>
    <row r="12" spans="1:51" ht="12.75" customHeight="1">
      <c r="A12" s="7" t="s">
        <v>27</v>
      </c>
      <c r="B12" s="143">
        <f t="shared" si="1"/>
        <v>5046</v>
      </c>
      <c r="C12" s="143">
        <f t="shared" si="2"/>
        <v>77</v>
      </c>
      <c r="D12" s="143">
        <f t="shared" si="3"/>
        <v>47</v>
      </c>
      <c r="E12" s="143">
        <f t="shared" si="4"/>
        <v>71</v>
      </c>
      <c r="F12" s="143">
        <f t="shared" si="5"/>
        <v>27</v>
      </c>
      <c r="G12" s="143">
        <f t="shared" si="6"/>
        <v>87</v>
      </c>
      <c r="H12" s="143">
        <f t="shared" si="7"/>
        <v>686</v>
      </c>
      <c r="I12" s="143">
        <f t="shared" si="8"/>
        <v>226</v>
      </c>
      <c r="J12" s="143">
        <f t="shared" si="9"/>
        <v>718</v>
      </c>
      <c r="K12" s="143">
        <f t="shared" si="10"/>
        <v>128</v>
      </c>
      <c r="L12" s="143">
        <f t="shared" si="11"/>
        <v>38</v>
      </c>
      <c r="M12" s="7" t="s">
        <v>27</v>
      </c>
      <c r="N12" s="143">
        <f t="shared" si="12"/>
        <v>30342</v>
      </c>
      <c r="O12" s="143">
        <f t="shared" si="13"/>
        <v>506</v>
      </c>
      <c r="P12" s="143">
        <f t="shared" si="14"/>
        <v>258</v>
      </c>
      <c r="Q12" s="143">
        <f t="shared" si="15"/>
        <v>818</v>
      </c>
      <c r="R12" s="143">
        <f t="shared" si="16"/>
        <v>200</v>
      </c>
      <c r="S12" s="143">
        <f t="shared" si="17"/>
        <v>630</v>
      </c>
      <c r="T12" s="143">
        <f t="shared" si="18"/>
        <v>6471</v>
      </c>
      <c r="U12" s="143">
        <f t="shared" si="19"/>
        <v>3897</v>
      </c>
      <c r="V12" s="143">
        <f t="shared" si="20"/>
        <v>6894</v>
      </c>
      <c r="W12" s="143">
        <f t="shared" si="21"/>
        <v>1268</v>
      </c>
      <c r="X12" s="143">
        <f t="shared" si="22"/>
        <v>262</v>
      </c>
      <c r="Y12" s="7" t="s">
        <v>27</v>
      </c>
      <c r="Z12" s="141">
        <f t="shared" si="23"/>
        <v>2676</v>
      </c>
      <c r="AA12" s="141">
        <f t="shared" si="24"/>
        <v>1839</v>
      </c>
      <c r="AB12" s="141">
        <f t="shared" si="25"/>
        <v>1871</v>
      </c>
      <c r="AC12" s="141">
        <f t="shared" si="26"/>
        <v>1701</v>
      </c>
      <c r="AD12" s="141">
        <f t="shared" si="27"/>
        <v>1474</v>
      </c>
      <c r="AE12" s="141">
        <f t="shared" si="28"/>
        <v>1599</v>
      </c>
      <c r="AF12" s="141">
        <f t="shared" si="29"/>
        <v>2371</v>
      </c>
      <c r="AG12" s="141">
        <f t="shared" si="30"/>
        <v>1822</v>
      </c>
      <c r="AH12" s="141">
        <f t="shared" si="31"/>
        <v>2081</v>
      </c>
      <c r="AI12" s="141">
        <f t="shared" si="32"/>
        <v>2205</v>
      </c>
      <c r="AJ12" s="141">
        <f t="shared" si="33"/>
        <v>1395</v>
      </c>
      <c r="AO12" s="142" t="s">
        <v>233</v>
      </c>
      <c r="AP12" s="142" t="s">
        <v>537</v>
      </c>
      <c r="AQ12" s="142" t="s">
        <v>539</v>
      </c>
      <c r="AR12" s="142" t="s">
        <v>28</v>
      </c>
      <c r="AS12" s="7">
        <v>5430</v>
      </c>
      <c r="AT12" s="7">
        <v>89553</v>
      </c>
      <c r="AU12" s="7">
        <v>845</v>
      </c>
      <c r="AW12" s="343" t="s">
        <v>539</v>
      </c>
      <c r="AX12" s="142" t="b">
        <f t="shared" si="0"/>
        <v>1</v>
      </c>
    </row>
    <row r="13" spans="1:51" ht="12.75" customHeight="1">
      <c r="A13" s="7" t="s">
        <v>28</v>
      </c>
      <c r="B13" s="143">
        <f t="shared" si="1"/>
        <v>5430</v>
      </c>
      <c r="C13" s="143">
        <f t="shared" si="2"/>
        <v>300</v>
      </c>
      <c r="D13" s="143">
        <f t="shared" si="3"/>
        <v>301</v>
      </c>
      <c r="E13" s="143">
        <f t="shared" si="4"/>
        <v>299</v>
      </c>
      <c r="F13" s="143">
        <f t="shared" si="5"/>
        <v>125</v>
      </c>
      <c r="G13" s="143">
        <f t="shared" si="6"/>
        <v>431</v>
      </c>
      <c r="H13" s="143">
        <f t="shared" si="7"/>
        <v>1405</v>
      </c>
      <c r="I13" s="143">
        <f t="shared" si="8"/>
        <v>497</v>
      </c>
      <c r="J13" s="143">
        <f t="shared" si="9"/>
        <v>1411</v>
      </c>
      <c r="K13" s="143">
        <f t="shared" si="10"/>
        <v>355</v>
      </c>
      <c r="L13" s="143">
        <f t="shared" si="11"/>
        <v>134</v>
      </c>
      <c r="M13" s="7" t="s">
        <v>28</v>
      </c>
      <c r="N13" s="143">
        <f t="shared" si="12"/>
        <v>89553</v>
      </c>
      <c r="O13" s="143">
        <f t="shared" si="13"/>
        <v>4896</v>
      </c>
      <c r="P13" s="143">
        <f t="shared" si="14"/>
        <v>3252</v>
      </c>
      <c r="Q13" s="143">
        <f t="shared" si="15"/>
        <v>5115</v>
      </c>
      <c r="R13" s="143">
        <f t="shared" si="16"/>
        <v>1736</v>
      </c>
      <c r="S13" s="143">
        <f t="shared" si="17"/>
        <v>6913</v>
      </c>
      <c r="T13" s="143">
        <f t="shared" si="18"/>
        <v>24791</v>
      </c>
      <c r="U13" s="143">
        <f t="shared" si="19"/>
        <v>8830</v>
      </c>
      <c r="V13" s="143">
        <f t="shared" si="20"/>
        <v>24067</v>
      </c>
      <c r="W13" s="143">
        <f t="shared" si="21"/>
        <v>6906</v>
      </c>
      <c r="X13" s="143">
        <f t="shared" si="22"/>
        <v>2365</v>
      </c>
      <c r="Y13" s="7" t="s">
        <v>28</v>
      </c>
      <c r="Z13" s="141">
        <f t="shared" si="23"/>
        <v>845</v>
      </c>
      <c r="AA13" s="141">
        <f t="shared" si="24"/>
        <v>803</v>
      </c>
      <c r="AB13" s="141">
        <f t="shared" si="25"/>
        <v>736</v>
      </c>
      <c r="AC13" s="141">
        <f t="shared" si="26"/>
        <v>734</v>
      </c>
      <c r="AD13" s="141">
        <f t="shared" si="27"/>
        <v>715</v>
      </c>
      <c r="AE13" s="141">
        <f t="shared" si="28"/>
        <v>783</v>
      </c>
      <c r="AF13" s="141">
        <f t="shared" si="29"/>
        <v>880</v>
      </c>
      <c r="AG13" s="141">
        <f t="shared" si="30"/>
        <v>831</v>
      </c>
      <c r="AH13" s="141">
        <f t="shared" si="31"/>
        <v>856</v>
      </c>
      <c r="AI13" s="141">
        <f t="shared" si="32"/>
        <v>805</v>
      </c>
      <c r="AJ13" s="141">
        <f t="shared" si="33"/>
        <v>792</v>
      </c>
      <c r="AO13" s="142" t="s">
        <v>233</v>
      </c>
      <c r="AP13" s="142" t="s">
        <v>537</v>
      </c>
      <c r="AQ13" s="142" t="s">
        <v>540</v>
      </c>
      <c r="AR13" s="142" t="s">
        <v>29</v>
      </c>
      <c r="AS13" s="7">
        <v>948</v>
      </c>
      <c r="AT13" s="7">
        <v>16317</v>
      </c>
      <c r="AU13" s="7">
        <v>1355</v>
      </c>
      <c r="AW13" s="343" t="s">
        <v>540</v>
      </c>
      <c r="AX13" s="142" t="b">
        <f t="shared" si="0"/>
        <v>1</v>
      </c>
    </row>
    <row r="14" spans="1:51" ht="12.75" customHeight="1">
      <c r="A14" s="7" t="s">
        <v>29</v>
      </c>
      <c r="B14" s="143">
        <f t="shared" si="1"/>
        <v>948</v>
      </c>
      <c r="C14" s="143">
        <f t="shared" si="2"/>
        <v>35</v>
      </c>
      <c r="D14" s="143">
        <f t="shared" si="3"/>
        <v>26</v>
      </c>
      <c r="E14" s="143">
        <f t="shared" si="4"/>
        <v>43</v>
      </c>
      <c r="F14" s="143">
        <f t="shared" si="5"/>
        <v>27</v>
      </c>
      <c r="G14" s="143">
        <f t="shared" si="6"/>
        <v>66</v>
      </c>
      <c r="H14" s="143">
        <f t="shared" si="7"/>
        <v>224</v>
      </c>
      <c r="I14" s="143">
        <f t="shared" si="8"/>
        <v>94</v>
      </c>
      <c r="J14" s="143">
        <f t="shared" si="9"/>
        <v>224</v>
      </c>
      <c r="K14" s="143">
        <f t="shared" si="10"/>
        <v>43</v>
      </c>
      <c r="L14" s="143">
        <f t="shared" si="11"/>
        <v>22</v>
      </c>
      <c r="M14" s="7" t="s">
        <v>29</v>
      </c>
      <c r="N14" s="143">
        <f t="shared" si="12"/>
        <v>16317</v>
      </c>
      <c r="O14" s="143">
        <f t="shared" si="13"/>
        <v>365</v>
      </c>
      <c r="P14" s="143">
        <f t="shared" si="14"/>
        <v>241</v>
      </c>
      <c r="Q14" s="143">
        <f t="shared" si="15"/>
        <v>669</v>
      </c>
      <c r="R14" s="143">
        <f t="shared" si="16"/>
        <v>241</v>
      </c>
      <c r="S14" s="143">
        <f t="shared" si="17"/>
        <v>815</v>
      </c>
      <c r="T14" s="143">
        <f t="shared" si="18"/>
        <v>4293</v>
      </c>
      <c r="U14" s="143">
        <f t="shared" si="19"/>
        <v>1829</v>
      </c>
      <c r="V14" s="143">
        <f t="shared" si="20"/>
        <v>5986</v>
      </c>
      <c r="W14" s="143">
        <f t="shared" si="21"/>
        <v>866</v>
      </c>
      <c r="X14" s="143">
        <f t="shared" si="22"/>
        <v>168</v>
      </c>
      <c r="Y14" s="7" t="s">
        <v>29</v>
      </c>
      <c r="Z14" s="141">
        <f t="shared" si="23"/>
        <v>1355</v>
      </c>
      <c r="AA14" s="141">
        <f t="shared" si="24"/>
        <v>866</v>
      </c>
      <c r="AB14" s="141">
        <f t="shared" si="25"/>
        <v>647</v>
      </c>
      <c r="AC14" s="141">
        <f t="shared" si="26"/>
        <v>1127</v>
      </c>
      <c r="AD14" s="141">
        <f t="shared" si="27"/>
        <v>965</v>
      </c>
      <c r="AE14" s="141">
        <f t="shared" si="28"/>
        <v>935</v>
      </c>
      <c r="AF14" s="141">
        <f t="shared" si="29"/>
        <v>1031</v>
      </c>
      <c r="AG14" s="141">
        <f t="shared" si="30"/>
        <v>1101</v>
      </c>
      <c r="AH14" s="141">
        <f t="shared" si="31"/>
        <v>1270</v>
      </c>
      <c r="AI14" s="141">
        <f t="shared" si="32"/>
        <v>4869</v>
      </c>
      <c r="AJ14" s="141">
        <f t="shared" si="33"/>
        <v>948</v>
      </c>
      <c r="AO14" s="142" t="s">
        <v>233</v>
      </c>
      <c r="AP14" s="142" t="s">
        <v>537</v>
      </c>
      <c r="AQ14" s="142" t="s">
        <v>272</v>
      </c>
      <c r="AR14" s="142" t="s">
        <v>30</v>
      </c>
      <c r="AS14" s="7">
        <v>1456</v>
      </c>
      <c r="AT14" s="7">
        <v>11382</v>
      </c>
      <c r="AU14" s="7">
        <v>2826</v>
      </c>
      <c r="AW14" s="343" t="s">
        <v>272</v>
      </c>
      <c r="AX14" s="142" t="b">
        <f t="shared" si="0"/>
        <v>1</v>
      </c>
    </row>
    <row r="15" spans="1:51" ht="12.75" customHeight="1">
      <c r="A15" s="7" t="s">
        <v>30</v>
      </c>
      <c r="B15" s="143">
        <f t="shared" si="1"/>
        <v>1456</v>
      </c>
      <c r="C15" s="143">
        <f t="shared" si="2"/>
        <v>25</v>
      </c>
      <c r="D15" s="143">
        <f t="shared" si="3"/>
        <v>30</v>
      </c>
      <c r="E15" s="143">
        <f t="shared" si="4"/>
        <v>30</v>
      </c>
      <c r="F15" s="143">
        <f t="shared" si="5"/>
        <v>13</v>
      </c>
      <c r="G15" s="143">
        <f t="shared" si="6"/>
        <v>54</v>
      </c>
      <c r="H15" s="143">
        <f t="shared" si="7"/>
        <v>211</v>
      </c>
      <c r="I15" s="143">
        <f t="shared" si="8"/>
        <v>68</v>
      </c>
      <c r="J15" s="143">
        <f t="shared" si="9"/>
        <v>173</v>
      </c>
      <c r="K15" s="143">
        <f t="shared" si="10"/>
        <v>44</v>
      </c>
      <c r="L15" s="143">
        <f t="shared" si="11"/>
        <v>13</v>
      </c>
      <c r="M15" s="7" t="s">
        <v>30</v>
      </c>
      <c r="N15" s="143">
        <f t="shared" si="12"/>
        <v>11382</v>
      </c>
      <c r="O15" s="143">
        <f t="shared" si="13"/>
        <v>224</v>
      </c>
      <c r="P15" s="143">
        <f t="shared" si="14"/>
        <v>157</v>
      </c>
      <c r="Q15" s="143">
        <f t="shared" si="15"/>
        <v>296</v>
      </c>
      <c r="R15" s="143">
        <f t="shared" si="16"/>
        <v>60</v>
      </c>
      <c r="S15" s="143">
        <f t="shared" si="17"/>
        <v>434</v>
      </c>
      <c r="T15" s="143">
        <f t="shared" si="18"/>
        <v>5098</v>
      </c>
      <c r="U15" s="143">
        <f t="shared" si="19"/>
        <v>571</v>
      </c>
      <c r="V15" s="143">
        <f t="shared" si="20"/>
        <v>2030</v>
      </c>
      <c r="W15" s="143">
        <f t="shared" si="21"/>
        <v>308</v>
      </c>
      <c r="X15" s="143">
        <f t="shared" si="22"/>
        <v>79</v>
      </c>
      <c r="Y15" s="7" t="s">
        <v>30</v>
      </c>
      <c r="Z15" s="141">
        <f t="shared" si="23"/>
        <v>2826</v>
      </c>
      <c r="AA15" s="141">
        <f t="shared" si="24"/>
        <v>1052</v>
      </c>
      <c r="AB15" s="141">
        <f t="shared" si="25"/>
        <v>1424</v>
      </c>
      <c r="AC15" s="141">
        <f t="shared" si="26"/>
        <v>1489</v>
      </c>
      <c r="AD15" s="141">
        <f t="shared" si="27"/>
        <v>1443</v>
      </c>
      <c r="AE15" s="141">
        <f t="shared" si="28"/>
        <v>3279</v>
      </c>
      <c r="AF15" s="141">
        <f t="shared" si="29"/>
        <v>2682</v>
      </c>
      <c r="AG15" s="141">
        <f t="shared" si="30"/>
        <v>2128</v>
      </c>
      <c r="AH15" s="141">
        <f t="shared" si="31"/>
        <v>2305</v>
      </c>
      <c r="AI15" s="141">
        <f t="shared" si="32"/>
        <v>1836</v>
      </c>
      <c r="AJ15" s="141">
        <f t="shared" si="33"/>
        <v>1325</v>
      </c>
      <c r="AO15" s="142" t="s">
        <v>233</v>
      </c>
      <c r="AP15" s="142" t="s">
        <v>537</v>
      </c>
      <c r="AQ15" s="142" t="s">
        <v>273</v>
      </c>
      <c r="AR15" s="142" t="s">
        <v>31</v>
      </c>
      <c r="AS15" s="7">
        <v>2592</v>
      </c>
      <c r="AT15" s="7">
        <v>25502</v>
      </c>
      <c r="AU15" s="7">
        <v>3020</v>
      </c>
      <c r="AW15" s="343" t="s">
        <v>273</v>
      </c>
      <c r="AX15" s="142" t="b">
        <f t="shared" si="0"/>
        <v>1</v>
      </c>
    </row>
    <row r="16" spans="1:51" ht="12.75" customHeight="1">
      <c r="A16" s="7" t="s">
        <v>31</v>
      </c>
      <c r="B16" s="143">
        <f t="shared" si="1"/>
        <v>2592</v>
      </c>
      <c r="C16" s="143">
        <f t="shared" si="2"/>
        <v>74</v>
      </c>
      <c r="D16" s="143">
        <f t="shared" si="3"/>
        <v>59</v>
      </c>
      <c r="E16" s="143">
        <f t="shared" si="4"/>
        <v>84</v>
      </c>
      <c r="F16" s="143">
        <f t="shared" si="5"/>
        <v>29</v>
      </c>
      <c r="G16" s="143">
        <f t="shared" si="6"/>
        <v>134</v>
      </c>
      <c r="H16" s="143">
        <f t="shared" si="7"/>
        <v>581</v>
      </c>
      <c r="I16" s="143">
        <f t="shared" si="8"/>
        <v>200</v>
      </c>
      <c r="J16" s="143">
        <f t="shared" si="9"/>
        <v>492</v>
      </c>
      <c r="K16" s="143">
        <f t="shared" si="10"/>
        <v>119</v>
      </c>
      <c r="L16" s="143">
        <f t="shared" si="11"/>
        <v>32</v>
      </c>
      <c r="M16" s="7" t="s">
        <v>31</v>
      </c>
      <c r="N16" s="143">
        <f t="shared" si="12"/>
        <v>25502</v>
      </c>
      <c r="O16" s="143">
        <f t="shared" si="13"/>
        <v>438</v>
      </c>
      <c r="P16" s="143">
        <f t="shared" si="14"/>
        <v>341</v>
      </c>
      <c r="Q16" s="143">
        <f t="shared" si="15"/>
        <v>805</v>
      </c>
      <c r="R16" s="143">
        <f t="shared" si="16"/>
        <v>153</v>
      </c>
      <c r="S16" s="143">
        <f t="shared" si="17"/>
        <v>908</v>
      </c>
      <c r="T16" s="143">
        <f t="shared" si="18"/>
        <v>9141</v>
      </c>
      <c r="U16" s="143">
        <f t="shared" si="19"/>
        <v>2405</v>
      </c>
      <c r="V16" s="143">
        <f t="shared" si="20"/>
        <v>5442</v>
      </c>
      <c r="W16" s="143">
        <f t="shared" si="21"/>
        <v>1545</v>
      </c>
      <c r="X16" s="143">
        <f t="shared" si="22"/>
        <v>310</v>
      </c>
      <c r="Y16" s="7" t="s">
        <v>31</v>
      </c>
      <c r="Z16" s="141">
        <f t="shared" si="23"/>
        <v>3020</v>
      </c>
      <c r="AA16" s="141">
        <f t="shared" si="24"/>
        <v>1985</v>
      </c>
      <c r="AB16" s="141">
        <f t="shared" si="25"/>
        <v>2219</v>
      </c>
      <c r="AC16" s="141">
        <f t="shared" si="26"/>
        <v>2086</v>
      </c>
      <c r="AD16" s="141">
        <f t="shared" si="27"/>
        <v>1374</v>
      </c>
      <c r="AE16" s="141">
        <f t="shared" si="28"/>
        <v>2513</v>
      </c>
      <c r="AF16" s="141">
        <f t="shared" si="29"/>
        <v>2857</v>
      </c>
      <c r="AG16" s="141">
        <f t="shared" si="30"/>
        <v>2443</v>
      </c>
      <c r="AH16" s="141">
        <f t="shared" si="31"/>
        <v>3528</v>
      </c>
      <c r="AI16" s="141">
        <f t="shared" si="32"/>
        <v>2672</v>
      </c>
      <c r="AJ16" s="141">
        <f t="shared" si="33"/>
        <v>1485</v>
      </c>
      <c r="AO16" s="142" t="s">
        <v>233</v>
      </c>
      <c r="AP16" s="142" t="s">
        <v>537</v>
      </c>
      <c r="AQ16" s="142" t="s">
        <v>274</v>
      </c>
      <c r="AR16" s="142" t="s">
        <v>32</v>
      </c>
      <c r="AS16" s="7">
        <v>1403</v>
      </c>
      <c r="AT16" s="7">
        <v>7232</v>
      </c>
      <c r="AU16" s="7">
        <v>1455</v>
      </c>
      <c r="AW16" s="343" t="s">
        <v>274</v>
      </c>
      <c r="AX16" s="142" t="b">
        <f t="shared" si="0"/>
        <v>1</v>
      </c>
    </row>
    <row r="17" spans="1:50" ht="12.75" customHeight="1">
      <c r="A17" s="7" t="s">
        <v>32</v>
      </c>
      <c r="B17" s="143">
        <f t="shared" si="1"/>
        <v>1403</v>
      </c>
      <c r="C17" s="143">
        <f t="shared" si="2"/>
        <v>67</v>
      </c>
      <c r="D17" s="143">
        <f t="shared" si="3"/>
        <v>62</v>
      </c>
      <c r="E17" s="143" t="str">
        <f t="shared" si="4"/>
        <v>n</v>
      </c>
      <c r="F17" s="143">
        <f t="shared" si="5"/>
        <v>24</v>
      </c>
      <c r="G17" s="143">
        <f t="shared" si="6"/>
        <v>96</v>
      </c>
      <c r="H17" s="143">
        <f t="shared" si="7"/>
        <v>340</v>
      </c>
      <c r="I17" s="143">
        <f t="shared" si="8"/>
        <v>131</v>
      </c>
      <c r="J17" s="143">
        <f t="shared" si="9"/>
        <v>348</v>
      </c>
      <c r="K17" s="143">
        <f t="shared" si="10"/>
        <v>94</v>
      </c>
      <c r="L17" s="143">
        <f t="shared" si="11"/>
        <v>31</v>
      </c>
      <c r="M17" s="7" t="s">
        <v>32</v>
      </c>
      <c r="N17" s="143">
        <f t="shared" si="12"/>
        <v>7232</v>
      </c>
      <c r="O17" s="143">
        <f t="shared" si="13"/>
        <v>231</v>
      </c>
      <c r="P17" s="143">
        <f t="shared" si="14"/>
        <v>228</v>
      </c>
      <c r="Q17" s="143" t="str">
        <f t="shared" si="15"/>
        <v>n</v>
      </c>
      <c r="R17" s="143">
        <f t="shared" si="16"/>
        <v>121</v>
      </c>
      <c r="S17" s="143">
        <f t="shared" si="17"/>
        <v>413</v>
      </c>
      <c r="T17" s="143">
        <f t="shared" si="18"/>
        <v>2264</v>
      </c>
      <c r="U17" s="143">
        <f t="shared" si="19"/>
        <v>1073</v>
      </c>
      <c r="V17" s="143">
        <f t="shared" si="20"/>
        <v>1807</v>
      </c>
      <c r="W17" s="143">
        <f t="shared" si="21"/>
        <v>371</v>
      </c>
      <c r="X17" s="143">
        <f t="shared" si="22"/>
        <v>107</v>
      </c>
      <c r="Y17" s="7" t="s">
        <v>32</v>
      </c>
      <c r="Z17" s="141">
        <f t="shared" si="23"/>
        <v>1455</v>
      </c>
      <c r="AA17" s="141">
        <f t="shared" si="24"/>
        <v>1487</v>
      </c>
      <c r="AB17" s="141">
        <f t="shared" si="25"/>
        <v>870</v>
      </c>
      <c r="AC17" s="141" t="str">
        <f t="shared" si="26"/>
        <v>n</v>
      </c>
      <c r="AD17" s="141">
        <f t="shared" si="27"/>
        <v>1050</v>
      </c>
      <c r="AE17" s="141">
        <f t="shared" si="28"/>
        <v>1040</v>
      </c>
      <c r="AF17" s="141">
        <f t="shared" si="29"/>
        <v>1407</v>
      </c>
      <c r="AG17" s="141">
        <f t="shared" si="30"/>
        <v>1377</v>
      </c>
      <c r="AH17" s="141">
        <f t="shared" si="31"/>
        <v>1657</v>
      </c>
      <c r="AI17" s="141">
        <f t="shared" si="32"/>
        <v>1071</v>
      </c>
      <c r="AJ17" s="141">
        <f t="shared" si="33"/>
        <v>831</v>
      </c>
      <c r="AO17" s="142" t="s">
        <v>233</v>
      </c>
      <c r="AP17" s="142" t="s">
        <v>537</v>
      </c>
      <c r="AQ17" s="142" t="s">
        <v>275</v>
      </c>
      <c r="AR17" s="142" t="s">
        <v>33</v>
      </c>
      <c r="AS17" s="7">
        <v>9959</v>
      </c>
      <c r="AT17" s="7">
        <v>48859</v>
      </c>
      <c r="AU17" s="7">
        <v>2671</v>
      </c>
      <c r="AW17" s="343" t="s">
        <v>275</v>
      </c>
      <c r="AX17" s="142" t="b">
        <f t="shared" si="0"/>
        <v>1</v>
      </c>
    </row>
    <row r="18" spans="1:50" ht="12.75" customHeight="1">
      <c r="A18" s="7" t="s">
        <v>33</v>
      </c>
      <c r="B18" s="143">
        <f t="shared" si="1"/>
        <v>9959</v>
      </c>
      <c r="C18" s="143">
        <f t="shared" si="2"/>
        <v>149</v>
      </c>
      <c r="D18" s="143">
        <f t="shared" si="3"/>
        <v>127</v>
      </c>
      <c r="E18" s="143">
        <f t="shared" si="4"/>
        <v>163</v>
      </c>
      <c r="F18" s="143">
        <f t="shared" si="5"/>
        <v>32</v>
      </c>
      <c r="G18" s="143">
        <f t="shared" si="6"/>
        <v>262</v>
      </c>
      <c r="H18" s="143">
        <f t="shared" si="7"/>
        <v>1390</v>
      </c>
      <c r="I18" s="143">
        <f t="shared" si="8"/>
        <v>475</v>
      </c>
      <c r="J18" s="143">
        <f t="shared" si="9"/>
        <v>1316</v>
      </c>
      <c r="K18" s="143">
        <f t="shared" si="10"/>
        <v>279</v>
      </c>
      <c r="L18" s="143">
        <f t="shared" si="11"/>
        <v>68</v>
      </c>
      <c r="M18" s="7" t="s">
        <v>33</v>
      </c>
      <c r="N18" s="143">
        <f t="shared" si="12"/>
        <v>48859</v>
      </c>
      <c r="O18" s="143">
        <f t="shared" si="13"/>
        <v>662</v>
      </c>
      <c r="P18" s="143">
        <f t="shared" si="14"/>
        <v>581</v>
      </c>
      <c r="Q18" s="143">
        <f t="shared" si="15"/>
        <v>739</v>
      </c>
      <c r="R18" s="143">
        <f t="shared" si="16"/>
        <v>87</v>
      </c>
      <c r="S18" s="143">
        <f t="shared" si="17"/>
        <v>2135</v>
      </c>
      <c r="T18" s="143">
        <f t="shared" si="18"/>
        <v>14457</v>
      </c>
      <c r="U18" s="143">
        <f t="shared" si="19"/>
        <v>3482</v>
      </c>
      <c r="V18" s="143">
        <f t="shared" si="20"/>
        <v>11341</v>
      </c>
      <c r="W18" s="143">
        <f t="shared" si="21"/>
        <v>1998</v>
      </c>
      <c r="X18" s="143">
        <f t="shared" si="22"/>
        <v>425</v>
      </c>
      <c r="Y18" s="7" t="s">
        <v>33</v>
      </c>
      <c r="Z18" s="141">
        <f t="shared" si="23"/>
        <v>2671</v>
      </c>
      <c r="AA18" s="141">
        <f t="shared" si="24"/>
        <v>1486</v>
      </c>
      <c r="AB18" s="141">
        <f t="shared" si="25"/>
        <v>1605</v>
      </c>
      <c r="AC18" s="141">
        <f t="shared" si="26"/>
        <v>1783</v>
      </c>
      <c r="AD18" s="141">
        <f t="shared" si="27"/>
        <v>926</v>
      </c>
      <c r="AE18" s="141">
        <f t="shared" si="28"/>
        <v>3035</v>
      </c>
      <c r="AF18" s="141">
        <f t="shared" si="29"/>
        <v>2453</v>
      </c>
      <c r="AG18" s="141">
        <f t="shared" si="30"/>
        <v>2082</v>
      </c>
      <c r="AH18" s="141">
        <f t="shared" si="31"/>
        <v>2351</v>
      </c>
      <c r="AI18" s="141">
        <f t="shared" si="32"/>
        <v>1747</v>
      </c>
      <c r="AJ18" s="141">
        <f t="shared" si="33"/>
        <v>1865</v>
      </c>
      <c r="AO18" s="142" t="s">
        <v>233</v>
      </c>
      <c r="AP18" s="142" t="s">
        <v>537</v>
      </c>
      <c r="AQ18" s="142" t="s">
        <v>276</v>
      </c>
      <c r="AR18" s="142" t="s">
        <v>34</v>
      </c>
      <c r="AS18" s="7">
        <v>966</v>
      </c>
      <c r="AT18" s="7">
        <v>10824</v>
      </c>
      <c r="AU18" s="7">
        <v>3159</v>
      </c>
      <c r="AW18" s="343" t="s">
        <v>276</v>
      </c>
      <c r="AX18" s="142" t="b">
        <f t="shared" si="0"/>
        <v>1</v>
      </c>
    </row>
    <row r="19" spans="1:50" ht="12.75" customHeight="1">
      <c r="A19" s="7" t="s">
        <v>34</v>
      </c>
      <c r="B19" s="143">
        <f t="shared" si="1"/>
        <v>966</v>
      </c>
      <c r="C19" s="143">
        <f t="shared" si="2"/>
        <v>23</v>
      </c>
      <c r="D19" s="143">
        <f t="shared" si="3"/>
        <v>16</v>
      </c>
      <c r="E19" s="143" t="str">
        <f t="shared" si="4"/>
        <v>n</v>
      </c>
      <c r="F19" s="143">
        <f t="shared" si="5"/>
        <v>8</v>
      </c>
      <c r="G19" s="143" t="str">
        <f t="shared" si="6"/>
        <v>n</v>
      </c>
      <c r="H19" s="143">
        <f t="shared" si="7"/>
        <v>122</v>
      </c>
      <c r="I19" s="143">
        <f t="shared" si="8"/>
        <v>44</v>
      </c>
      <c r="J19" s="143">
        <f t="shared" si="9"/>
        <v>136</v>
      </c>
      <c r="K19" s="143">
        <f t="shared" si="10"/>
        <v>19</v>
      </c>
      <c r="L19" s="143">
        <f t="shared" si="11"/>
        <v>7</v>
      </c>
      <c r="M19" s="7" t="s">
        <v>34</v>
      </c>
      <c r="N19" s="143">
        <f t="shared" si="12"/>
        <v>10824</v>
      </c>
      <c r="O19" s="143">
        <f t="shared" si="13"/>
        <v>507</v>
      </c>
      <c r="P19" s="143">
        <f t="shared" si="14"/>
        <v>57</v>
      </c>
      <c r="Q19" s="143" t="str">
        <f t="shared" si="15"/>
        <v>n</v>
      </c>
      <c r="R19" s="143">
        <f t="shared" si="16"/>
        <v>149</v>
      </c>
      <c r="S19" s="143" t="str">
        <f t="shared" si="17"/>
        <v>n</v>
      </c>
      <c r="T19" s="143">
        <f t="shared" si="18"/>
        <v>3701</v>
      </c>
      <c r="U19" s="143">
        <f t="shared" si="19"/>
        <v>766</v>
      </c>
      <c r="V19" s="143">
        <f t="shared" si="20"/>
        <v>2606</v>
      </c>
      <c r="W19" s="143">
        <f t="shared" si="21"/>
        <v>195</v>
      </c>
      <c r="X19" s="143">
        <f t="shared" si="22"/>
        <v>69</v>
      </c>
      <c r="Y19" s="7" t="s">
        <v>34</v>
      </c>
      <c r="Z19" s="141">
        <f t="shared" si="23"/>
        <v>3159</v>
      </c>
      <c r="AA19" s="141">
        <f t="shared" si="24"/>
        <v>2372</v>
      </c>
      <c r="AB19" s="141">
        <f t="shared" si="25"/>
        <v>1829</v>
      </c>
      <c r="AC19" s="141" t="str">
        <f t="shared" si="26"/>
        <v>n</v>
      </c>
      <c r="AD19" s="141">
        <f t="shared" si="27"/>
        <v>1416</v>
      </c>
      <c r="AE19" s="141" t="str">
        <f t="shared" si="28"/>
        <v>n</v>
      </c>
      <c r="AF19" s="141">
        <f t="shared" si="29"/>
        <v>2214</v>
      </c>
      <c r="AG19" s="141">
        <f t="shared" si="30"/>
        <v>3048</v>
      </c>
      <c r="AH19" s="141">
        <f t="shared" si="31"/>
        <v>4815</v>
      </c>
      <c r="AI19" s="141">
        <f t="shared" si="32"/>
        <v>1549</v>
      </c>
      <c r="AJ19" s="141">
        <f t="shared" si="33"/>
        <v>2864</v>
      </c>
      <c r="AO19" s="142" t="s">
        <v>233</v>
      </c>
      <c r="AP19" s="142" t="s">
        <v>537</v>
      </c>
      <c r="AQ19" s="142" t="s">
        <v>277</v>
      </c>
      <c r="AR19" s="142" t="s">
        <v>35</v>
      </c>
      <c r="AS19" s="7">
        <v>5223</v>
      </c>
      <c r="AT19" s="7">
        <v>37599</v>
      </c>
      <c r="AU19" s="7">
        <v>1564</v>
      </c>
      <c r="AW19" s="343" t="s">
        <v>277</v>
      </c>
      <c r="AX19" s="142" t="b">
        <f t="shared" si="0"/>
        <v>1</v>
      </c>
    </row>
    <row r="20" spans="1:50" ht="12.75" customHeight="1">
      <c r="A20" s="7" t="s">
        <v>35</v>
      </c>
      <c r="B20" s="143">
        <f t="shared" si="1"/>
        <v>5223</v>
      </c>
      <c r="C20" s="143">
        <f t="shared" si="2"/>
        <v>128</v>
      </c>
      <c r="D20" s="143">
        <f t="shared" si="3"/>
        <v>124</v>
      </c>
      <c r="E20" s="143">
        <f t="shared" si="4"/>
        <v>125</v>
      </c>
      <c r="F20" s="143">
        <f t="shared" si="5"/>
        <v>57</v>
      </c>
      <c r="G20" s="143">
        <f t="shared" si="6"/>
        <v>190</v>
      </c>
      <c r="H20" s="143">
        <f t="shared" si="7"/>
        <v>828</v>
      </c>
      <c r="I20" s="143">
        <f t="shared" si="8"/>
        <v>337</v>
      </c>
      <c r="J20" s="143">
        <f t="shared" si="9"/>
        <v>774</v>
      </c>
      <c r="K20" s="143">
        <f t="shared" si="10"/>
        <v>225</v>
      </c>
      <c r="L20" s="143">
        <f t="shared" si="11"/>
        <v>74</v>
      </c>
      <c r="M20" s="7" t="s">
        <v>35</v>
      </c>
      <c r="N20" s="143">
        <f t="shared" si="12"/>
        <v>37599</v>
      </c>
      <c r="O20" s="143">
        <f t="shared" si="13"/>
        <v>984</v>
      </c>
      <c r="P20" s="143">
        <f t="shared" si="14"/>
        <v>634</v>
      </c>
      <c r="Q20" s="143">
        <f t="shared" si="15"/>
        <v>823</v>
      </c>
      <c r="R20" s="143">
        <f t="shared" si="16"/>
        <v>475</v>
      </c>
      <c r="S20" s="143">
        <f t="shared" si="17"/>
        <v>1257</v>
      </c>
      <c r="T20" s="143">
        <f t="shared" si="18"/>
        <v>10408</v>
      </c>
      <c r="U20" s="143">
        <f t="shared" si="19"/>
        <v>3291</v>
      </c>
      <c r="V20" s="143">
        <f t="shared" si="20"/>
        <v>8717</v>
      </c>
      <c r="W20" s="143">
        <f t="shared" si="21"/>
        <v>2031</v>
      </c>
      <c r="X20" s="143">
        <f t="shared" si="22"/>
        <v>585</v>
      </c>
      <c r="Y20" s="7" t="s">
        <v>35</v>
      </c>
      <c r="Z20" s="141">
        <f t="shared" si="23"/>
        <v>1564</v>
      </c>
      <c r="AA20" s="141">
        <f t="shared" si="24"/>
        <v>954</v>
      </c>
      <c r="AB20" s="141">
        <f t="shared" si="25"/>
        <v>1148</v>
      </c>
      <c r="AC20" s="141">
        <f t="shared" si="26"/>
        <v>959</v>
      </c>
      <c r="AD20" s="141">
        <f t="shared" si="27"/>
        <v>1067</v>
      </c>
      <c r="AE20" s="141">
        <f t="shared" si="28"/>
        <v>1219</v>
      </c>
      <c r="AF20" s="141">
        <f t="shared" si="29"/>
        <v>1166</v>
      </c>
      <c r="AG20" s="141">
        <f t="shared" si="30"/>
        <v>1228</v>
      </c>
      <c r="AH20" s="141">
        <f t="shared" si="31"/>
        <v>1543</v>
      </c>
      <c r="AI20" s="141">
        <f t="shared" si="32"/>
        <v>1260</v>
      </c>
      <c r="AJ20" s="141">
        <f t="shared" si="33"/>
        <v>822</v>
      </c>
      <c r="AO20" s="142" t="s">
        <v>233</v>
      </c>
      <c r="AP20" s="142" t="s">
        <v>537</v>
      </c>
      <c r="AQ20" s="142" t="s">
        <v>278</v>
      </c>
      <c r="AR20" s="142" t="s">
        <v>36</v>
      </c>
      <c r="AS20" s="7">
        <v>1078</v>
      </c>
      <c r="AT20" s="7">
        <v>21428</v>
      </c>
      <c r="AU20" s="7">
        <v>1365</v>
      </c>
      <c r="AW20" s="343" t="s">
        <v>278</v>
      </c>
      <c r="AX20" s="142" t="b">
        <f t="shared" si="0"/>
        <v>1</v>
      </c>
    </row>
    <row r="21" spans="1:50" ht="12.75" customHeight="1">
      <c r="A21" s="7" t="s">
        <v>36</v>
      </c>
      <c r="B21" s="143">
        <f t="shared" si="1"/>
        <v>1078</v>
      </c>
      <c r="C21" s="143">
        <f t="shared" si="2"/>
        <v>19</v>
      </c>
      <c r="D21" s="143">
        <f t="shared" si="3"/>
        <v>29</v>
      </c>
      <c r="E21" s="143">
        <f t="shared" si="4"/>
        <v>27</v>
      </c>
      <c r="F21" s="143">
        <f t="shared" si="5"/>
        <v>9</v>
      </c>
      <c r="G21" s="143" t="str">
        <f t="shared" si="6"/>
        <v>n</v>
      </c>
      <c r="H21" s="143">
        <f t="shared" si="7"/>
        <v>199</v>
      </c>
      <c r="I21" s="143">
        <f t="shared" si="8"/>
        <v>86</v>
      </c>
      <c r="J21" s="143">
        <f t="shared" si="9"/>
        <v>168</v>
      </c>
      <c r="K21" s="143">
        <f t="shared" si="10"/>
        <v>54</v>
      </c>
      <c r="L21" s="143">
        <f t="shared" si="11"/>
        <v>18</v>
      </c>
      <c r="M21" s="7" t="s">
        <v>36</v>
      </c>
      <c r="N21" s="143">
        <f t="shared" si="12"/>
        <v>21428</v>
      </c>
      <c r="O21" s="143">
        <f t="shared" si="13"/>
        <v>299</v>
      </c>
      <c r="P21" s="143">
        <f t="shared" si="14"/>
        <v>360</v>
      </c>
      <c r="Q21" s="143">
        <f t="shared" si="15"/>
        <v>811</v>
      </c>
      <c r="R21" s="143">
        <f t="shared" si="16"/>
        <v>90</v>
      </c>
      <c r="S21" s="143" t="str">
        <f t="shared" si="17"/>
        <v>n</v>
      </c>
      <c r="T21" s="143">
        <f t="shared" si="18"/>
        <v>5859</v>
      </c>
      <c r="U21" s="143">
        <f t="shared" si="19"/>
        <v>1968</v>
      </c>
      <c r="V21" s="143">
        <f t="shared" si="20"/>
        <v>3349</v>
      </c>
      <c r="W21" s="143">
        <f t="shared" si="21"/>
        <v>475</v>
      </c>
      <c r="X21" s="143">
        <f t="shared" si="22"/>
        <v>383</v>
      </c>
      <c r="Y21" s="7" t="s">
        <v>36</v>
      </c>
      <c r="Z21" s="141">
        <f t="shared" si="23"/>
        <v>1365</v>
      </c>
      <c r="AA21" s="141">
        <f t="shared" si="24"/>
        <v>1070</v>
      </c>
      <c r="AB21" s="141">
        <f t="shared" si="25"/>
        <v>851</v>
      </c>
      <c r="AC21" s="141">
        <f t="shared" si="26"/>
        <v>873</v>
      </c>
      <c r="AD21" s="141">
        <f t="shared" si="27"/>
        <v>819</v>
      </c>
      <c r="AE21" s="141" t="str">
        <f t="shared" si="28"/>
        <v>n</v>
      </c>
      <c r="AF21" s="141">
        <f t="shared" si="29"/>
        <v>1194</v>
      </c>
      <c r="AG21" s="141">
        <f t="shared" si="30"/>
        <v>1025</v>
      </c>
      <c r="AH21" s="141">
        <f t="shared" si="31"/>
        <v>1045</v>
      </c>
      <c r="AI21" s="141">
        <f t="shared" si="32"/>
        <v>806</v>
      </c>
      <c r="AJ21" s="141">
        <f t="shared" si="33"/>
        <v>935</v>
      </c>
      <c r="AO21" s="142" t="s">
        <v>233</v>
      </c>
      <c r="AP21" s="142" t="s">
        <v>537</v>
      </c>
      <c r="AQ21" s="142" t="s">
        <v>279</v>
      </c>
      <c r="AR21" s="142" t="s">
        <v>37</v>
      </c>
      <c r="AS21" s="7">
        <v>4166</v>
      </c>
      <c r="AT21" s="7">
        <v>96365</v>
      </c>
      <c r="AU21" s="7">
        <v>1355</v>
      </c>
      <c r="AW21" s="343" t="s">
        <v>279</v>
      </c>
      <c r="AX21" s="142" t="b">
        <f t="shared" si="0"/>
        <v>1</v>
      </c>
    </row>
    <row r="22" spans="1:50" ht="12.75" customHeight="1">
      <c r="A22" s="7" t="s">
        <v>37</v>
      </c>
      <c r="B22" s="143">
        <f t="shared" si="1"/>
        <v>4166</v>
      </c>
      <c r="C22" s="143">
        <f t="shared" si="2"/>
        <v>155</v>
      </c>
      <c r="D22" s="143">
        <f t="shared" si="3"/>
        <v>124</v>
      </c>
      <c r="E22" s="143">
        <f t="shared" si="4"/>
        <v>175</v>
      </c>
      <c r="F22" s="143">
        <f t="shared" si="5"/>
        <v>76</v>
      </c>
      <c r="G22" s="143">
        <f t="shared" si="6"/>
        <v>294</v>
      </c>
      <c r="H22" s="143">
        <f t="shared" si="7"/>
        <v>1212</v>
      </c>
      <c r="I22" s="143">
        <f t="shared" si="8"/>
        <v>400</v>
      </c>
      <c r="J22" s="143">
        <f t="shared" si="9"/>
        <v>975</v>
      </c>
      <c r="K22" s="143">
        <f t="shared" si="10"/>
        <v>290</v>
      </c>
      <c r="L22" s="143">
        <f t="shared" si="11"/>
        <v>108</v>
      </c>
      <c r="M22" s="7" t="s">
        <v>37</v>
      </c>
      <c r="N22" s="143">
        <f t="shared" si="12"/>
        <v>96365</v>
      </c>
      <c r="O22" s="143">
        <f t="shared" si="13"/>
        <v>3281</v>
      </c>
      <c r="P22" s="143">
        <f t="shared" si="14"/>
        <v>2322</v>
      </c>
      <c r="Q22" s="143">
        <f t="shared" si="15"/>
        <v>4013</v>
      </c>
      <c r="R22" s="143">
        <f t="shared" si="16"/>
        <v>1783</v>
      </c>
      <c r="S22" s="143">
        <f t="shared" si="17"/>
        <v>13074</v>
      </c>
      <c r="T22" s="143">
        <f t="shared" si="18"/>
        <v>31100</v>
      </c>
      <c r="U22" s="143">
        <f t="shared" si="19"/>
        <v>11704</v>
      </c>
      <c r="V22" s="143">
        <f t="shared" si="20"/>
        <v>18543</v>
      </c>
      <c r="W22" s="143">
        <f t="shared" si="21"/>
        <v>7843</v>
      </c>
      <c r="X22" s="143">
        <f t="shared" si="22"/>
        <v>1409</v>
      </c>
      <c r="Y22" s="7" t="s">
        <v>37</v>
      </c>
      <c r="Z22" s="141">
        <f t="shared" si="23"/>
        <v>1355</v>
      </c>
      <c r="AA22" s="141">
        <f t="shared" si="24"/>
        <v>1194</v>
      </c>
      <c r="AB22" s="141">
        <f t="shared" si="25"/>
        <v>1208</v>
      </c>
      <c r="AC22" s="141">
        <f t="shared" si="26"/>
        <v>1190</v>
      </c>
      <c r="AD22" s="141">
        <f t="shared" si="27"/>
        <v>1399</v>
      </c>
      <c r="AE22" s="141">
        <f t="shared" si="28"/>
        <v>1685</v>
      </c>
      <c r="AF22" s="141">
        <f t="shared" si="29"/>
        <v>1338</v>
      </c>
      <c r="AG22" s="141">
        <f t="shared" si="30"/>
        <v>1274</v>
      </c>
      <c r="AH22" s="141">
        <f t="shared" si="31"/>
        <v>1287</v>
      </c>
      <c r="AI22" s="141">
        <f t="shared" si="32"/>
        <v>1321</v>
      </c>
      <c r="AJ22" s="141">
        <f t="shared" si="33"/>
        <v>1044</v>
      </c>
      <c r="AO22" s="142" t="s">
        <v>233</v>
      </c>
      <c r="AP22" s="142" t="s">
        <v>537</v>
      </c>
      <c r="AQ22" s="142" t="s">
        <v>280</v>
      </c>
      <c r="AR22" s="142" t="s">
        <v>38</v>
      </c>
      <c r="AS22" s="7">
        <v>843</v>
      </c>
      <c r="AT22" s="7">
        <v>13365</v>
      </c>
      <c r="AU22" s="7">
        <v>612</v>
      </c>
      <c r="AW22" s="343" t="s">
        <v>280</v>
      </c>
      <c r="AX22" s="142" t="b">
        <f t="shared" si="0"/>
        <v>1</v>
      </c>
    </row>
    <row r="23" spans="1:50" ht="12.75" customHeight="1">
      <c r="A23" s="7" t="s">
        <v>38</v>
      </c>
      <c r="B23" s="143">
        <f t="shared" si="1"/>
        <v>843</v>
      </c>
      <c r="C23" s="143">
        <f t="shared" si="2"/>
        <v>47</v>
      </c>
      <c r="D23" s="143">
        <f t="shared" si="3"/>
        <v>65</v>
      </c>
      <c r="E23" s="143">
        <f t="shared" si="4"/>
        <v>32</v>
      </c>
      <c r="F23" s="143">
        <f t="shared" si="5"/>
        <v>27</v>
      </c>
      <c r="G23" s="143">
        <f t="shared" si="6"/>
        <v>70</v>
      </c>
      <c r="H23" s="143">
        <f t="shared" si="7"/>
        <v>199</v>
      </c>
      <c r="I23" s="143">
        <f t="shared" si="8"/>
        <v>78</v>
      </c>
      <c r="J23" s="143">
        <f t="shared" si="9"/>
        <v>207</v>
      </c>
      <c r="K23" s="143">
        <f t="shared" si="10"/>
        <v>43</v>
      </c>
      <c r="L23" s="143">
        <f t="shared" si="11"/>
        <v>14</v>
      </c>
      <c r="M23" s="7" t="s">
        <v>38</v>
      </c>
      <c r="N23" s="143">
        <f t="shared" si="12"/>
        <v>13365</v>
      </c>
      <c r="O23" s="143">
        <f t="shared" si="13"/>
        <v>577</v>
      </c>
      <c r="P23" s="143">
        <f t="shared" si="14"/>
        <v>1120</v>
      </c>
      <c r="Q23" s="143">
        <f t="shared" si="15"/>
        <v>332</v>
      </c>
      <c r="R23" s="143">
        <f t="shared" si="16"/>
        <v>428</v>
      </c>
      <c r="S23" s="143">
        <f t="shared" si="17"/>
        <v>1695</v>
      </c>
      <c r="T23" s="143">
        <f t="shared" si="18"/>
        <v>3434</v>
      </c>
      <c r="U23" s="143">
        <f t="shared" si="19"/>
        <v>2256</v>
      </c>
      <c r="V23" s="143">
        <f t="shared" si="20"/>
        <v>2550</v>
      </c>
      <c r="W23" s="143">
        <f t="shared" si="21"/>
        <v>641</v>
      </c>
      <c r="X23" s="143">
        <f t="shared" si="22"/>
        <v>92</v>
      </c>
      <c r="Y23" s="7" t="s">
        <v>38</v>
      </c>
      <c r="Z23" s="141">
        <f t="shared" si="23"/>
        <v>612</v>
      </c>
      <c r="AA23" s="141">
        <f t="shared" si="24"/>
        <v>614</v>
      </c>
      <c r="AB23" s="141">
        <f t="shared" si="25"/>
        <v>643</v>
      </c>
      <c r="AC23" s="141">
        <f t="shared" si="26"/>
        <v>667</v>
      </c>
      <c r="AD23" s="141">
        <f t="shared" si="27"/>
        <v>673</v>
      </c>
      <c r="AE23" s="141">
        <f t="shared" si="28"/>
        <v>580</v>
      </c>
      <c r="AF23" s="141">
        <f t="shared" si="29"/>
        <v>519</v>
      </c>
      <c r="AG23" s="141">
        <f t="shared" si="30"/>
        <v>490</v>
      </c>
      <c r="AH23" s="141">
        <f t="shared" si="31"/>
        <v>664</v>
      </c>
      <c r="AI23" s="141">
        <f t="shared" si="32"/>
        <v>650</v>
      </c>
      <c r="AJ23" s="141">
        <f t="shared" si="33"/>
        <v>967</v>
      </c>
      <c r="AO23" s="142" t="s">
        <v>233</v>
      </c>
      <c r="AP23" s="142" t="s">
        <v>537</v>
      </c>
      <c r="AQ23" s="142" t="s">
        <v>281</v>
      </c>
      <c r="AR23" s="142" t="s">
        <v>39</v>
      </c>
      <c r="AS23" s="7">
        <v>3542</v>
      </c>
      <c r="AT23" s="7">
        <v>56825</v>
      </c>
      <c r="AU23" s="7">
        <v>570</v>
      </c>
      <c r="AW23" s="343" t="s">
        <v>281</v>
      </c>
      <c r="AX23" s="142" t="b">
        <f t="shared" si="0"/>
        <v>1</v>
      </c>
    </row>
    <row r="24" spans="1:50" ht="12.75" customHeight="1">
      <c r="A24" s="7" t="s">
        <v>39</v>
      </c>
      <c r="B24" s="143">
        <f t="shared" si="1"/>
        <v>3542</v>
      </c>
      <c r="C24" s="143">
        <f t="shared" si="2"/>
        <v>216</v>
      </c>
      <c r="D24" s="143">
        <f t="shared" si="3"/>
        <v>263</v>
      </c>
      <c r="E24" s="143">
        <f t="shared" si="4"/>
        <v>160</v>
      </c>
      <c r="F24" s="143">
        <f t="shared" si="5"/>
        <v>95</v>
      </c>
      <c r="G24" s="143">
        <f t="shared" si="6"/>
        <v>376</v>
      </c>
      <c r="H24" s="143">
        <f t="shared" si="7"/>
        <v>887</v>
      </c>
      <c r="I24" s="143">
        <f t="shared" si="8"/>
        <v>315</v>
      </c>
      <c r="J24" s="143">
        <f t="shared" si="9"/>
        <v>840</v>
      </c>
      <c r="K24" s="143">
        <f t="shared" si="10"/>
        <v>285</v>
      </c>
      <c r="L24" s="143">
        <f t="shared" si="11"/>
        <v>68</v>
      </c>
      <c r="M24" s="7" t="s">
        <v>39</v>
      </c>
      <c r="N24" s="143">
        <f t="shared" si="12"/>
        <v>56825</v>
      </c>
      <c r="O24" s="143">
        <f t="shared" si="13"/>
        <v>2905</v>
      </c>
      <c r="P24" s="143">
        <f t="shared" si="14"/>
        <v>3627</v>
      </c>
      <c r="Q24" s="143">
        <f t="shared" si="15"/>
        <v>2460</v>
      </c>
      <c r="R24" s="143">
        <f t="shared" si="16"/>
        <v>1778</v>
      </c>
      <c r="S24" s="143">
        <f t="shared" si="17"/>
        <v>5207</v>
      </c>
      <c r="T24" s="143">
        <f t="shared" si="18"/>
        <v>15332</v>
      </c>
      <c r="U24" s="143">
        <f t="shared" si="19"/>
        <v>5301</v>
      </c>
      <c r="V24" s="143">
        <f t="shared" si="20"/>
        <v>15035</v>
      </c>
      <c r="W24" s="143">
        <f t="shared" si="21"/>
        <v>4244</v>
      </c>
      <c r="X24" s="143">
        <f t="shared" si="22"/>
        <v>811</v>
      </c>
      <c r="Y24" s="7" t="s">
        <v>39</v>
      </c>
      <c r="Z24" s="141">
        <f t="shared" si="23"/>
        <v>570</v>
      </c>
      <c r="AA24" s="141">
        <f t="shared" si="24"/>
        <v>572</v>
      </c>
      <c r="AB24" s="141">
        <f t="shared" si="25"/>
        <v>666</v>
      </c>
      <c r="AC24" s="141">
        <f t="shared" si="26"/>
        <v>489</v>
      </c>
      <c r="AD24" s="141">
        <f t="shared" si="27"/>
        <v>630</v>
      </c>
      <c r="AE24" s="141">
        <f t="shared" si="28"/>
        <v>638</v>
      </c>
      <c r="AF24" s="141">
        <f t="shared" si="29"/>
        <v>559</v>
      </c>
      <c r="AG24" s="141">
        <f t="shared" si="30"/>
        <v>535</v>
      </c>
      <c r="AH24" s="141">
        <f t="shared" si="31"/>
        <v>568</v>
      </c>
      <c r="AI24" s="141">
        <f t="shared" si="32"/>
        <v>504</v>
      </c>
      <c r="AJ24" s="141">
        <f t="shared" si="33"/>
        <v>531</v>
      </c>
      <c r="AO24" s="142" t="s">
        <v>233</v>
      </c>
      <c r="AP24" s="142" t="s">
        <v>537</v>
      </c>
      <c r="AQ24" s="142" t="s">
        <v>282</v>
      </c>
      <c r="AR24" s="142" t="s">
        <v>40</v>
      </c>
      <c r="AS24" s="7">
        <v>4033</v>
      </c>
      <c r="AT24" s="7">
        <v>21165</v>
      </c>
      <c r="AU24" s="7">
        <v>977</v>
      </c>
      <c r="AW24" s="343" t="s">
        <v>282</v>
      </c>
      <c r="AX24" s="142" t="b">
        <f t="shared" si="0"/>
        <v>1</v>
      </c>
    </row>
    <row r="25" spans="1:50" ht="12.75" customHeight="1">
      <c r="A25" s="7" t="s">
        <v>40</v>
      </c>
      <c r="B25" s="143">
        <f t="shared" si="1"/>
        <v>4033</v>
      </c>
      <c r="C25" s="143">
        <f t="shared" si="2"/>
        <v>186</v>
      </c>
      <c r="D25" s="143">
        <f t="shared" si="3"/>
        <v>148</v>
      </c>
      <c r="E25" s="143">
        <f t="shared" si="4"/>
        <v>187</v>
      </c>
      <c r="F25" s="143">
        <f t="shared" si="5"/>
        <v>54</v>
      </c>
      <c r="G25" s="143">
        <f t="shared" si="6"/>
        <v>280</v>
      </c>
      <c r="H25" s="143">
        <f t="shared" si="7"/>
        <v>1005</v>
      </c>
      <c r="I25" s="143">
        <f t="shared" si="8"/>
        <v>522</v>
      </c>
      <c r="J25" s="143">
        <f t="shared" si="9"/>
        <v>967</v>
      </c>
      <c r="K25" s="143">
        <f t="shared" si="10"/>
        <v>276</v>
      </c>
      <c r="L25" s="143">
        <f t="shared" si="11"/>
        <v>90</v>
      </c>
      <c r="M25" s="7" t="s">
        <v>40</v>
      </c>
      <c r="N25" s="143">
        <f t="shared" si="12"/>
        <v>21165</v>
      </c>
      <c r="O25" s="143">
        <f t="shared" si="13"/>
        <v>852</v>
      </c>
      <c r="P25" s="143">
        <f t="shared" si="14"/>
        <v>544</v>
      </c>
      <c r="Q25" s="143">
        <f t="shared" si="15"/>
        <v>1297</v>
      </c>
      <c r="R25" s="143">
        <f t="shared" si="16"/>
        <v>168</v>
      </c>
      <c r="S25" s="143">
        <f t="shared" si="17"/>
        <v>972</v>
      </c>
      <c r="T25" s="143">
        <f t="shared" si="18"/>
        <v>6890</v>
      </c>
      <c r="U25" s="143">
        <f t="shared" si="19"/>
        <v>3091</v>
      </c>
      <c r="V25" s="143">
        <f t="shared" si="20"/>
        <v>4678</v>
      </c>
      <c r="W25" s="143">
        <f t="shared" si="21"/>
        <v>1639</v>
      </c>
      <c r="X25" s="143">
        <f t="shared" si="22"/>
        <v>288</v>
      </c>
      <c r="Y25" s="7" t="s">
        <v>40</v>
      </c>
      <c r="Z25" s="141">
        <f t="shared" si="23"/>
        <v>977</v>
      </c>
      <c r="AA25" s="141">
        <f t="shared" si="24"/>
        <v>876</v>
      </c>
      <c r="AB25" s="141">
        <f t="shared" si="25"/>
        <v>915</v>
      </c>
      <c r="AC25" s="141">
        <f t="shared" si="26"/>
        <v>751</v>
      </c>
      <c r="AD25" s="141">
        <f t="shared" si="27"/>
        <v>810</v>
      </c>
      <c r="AE25" s="141">
        <f t="shared" si="28"/>
        <v>855</v>
      </c>
      <c r="AF25" s="141">
        <f t="shared" si="29"/>
        <v>918</v>
      </c>
      <c r="AG25" s="141">
        <f t="shared" si="30"/>
        <v>1109</v>
      </c>
      <c r="AH25" s="141">
        <f t="shared" si="31"/>
        <v>947</v>
      </c>
      <c r="AI25" s="141">
        <f t="shared" si="32"/>
        <v>873</v>
      </c>
      <c r="AJ25" s="141">
        <f t="shared" si="33"/>
        <v>905</v>
      </c>
      <c r="AO25" s="142" t="s">
        <v>233</v>
      </c>
      <c r="AP25" s="142" t="s">
        <v>537</v>
      </c>
      <c r="AQ25" s="142" t="s">
        <v>283</v>
      </c>
      <c r="AR25" s="142" t="s">
        <v>41</v>
      </c>
      <c r="AS25" s="7">
        <v>915</v>
      </c>
      <c r="AT25" s="7">
        <v>2378</v>
      </c>
      <c r="AU25" s="7">
        <v>2463</v>
      </c>
      <c r="AW25" s="343" t="s">
        <v>283</v>
      </c>
      <c r="AX25" s="142" t="b">
        <f t="shared" si="0"/>
        <v>1</v>
      </c>
    </row>
    <row r="26" spans="1:50" ht="12.75" customHeight="1">
      <c r="A26" s="7" t="s">
        <v>41</v>
      </c>
      <c r="B26" s="143">
        <f t="shared" si="1"/>
        <v>915</v>
      </c>
      <c r="C26" s="143">
        <f t="shared" si="2"/>
        <v>10</v>
      </c>
      <c r="D26" s="143" t="str">
        <f t="shared" si="3"/>
        <v>n</v>
      </c>
      <c r="E26" s="143" t="str">
        <f t="shared" si="4"/>
        <v>n</v>
      </c>
      <c r="F26" s="143" t="str">
        <f t="shared" si="5"/>
        <v>n</v>
      </c>
      <c r="G26" s="143">
        <f t="shared" si="6"/>
        <v>14</v>
      </c>
      <c r="H26" s="143">
        <f t="shared" si="7"/>
        <v>61</v>
      </c>
      <c r="I26" s="143">
        <f t="shared" si="8"/>
        <v>16</v>
      </c>
      <c r="J26" s="143">
        <f t="shared" si="9"/>
        <v>67</v>
      </c>
      <c r="K26" s="143" t="str">
        <f t="shared" si="10"/>
        <v>n</v>
      </c>
      <c r="L26" s="143" t="str">
        <f t="shared" si="11"/>
        <v>n</v>
      </c>
      <c r="M26" s="7" t="s">
        <v>41</v>
      </c>
      <c r="N26" s="143">
        <f t="shared" si="12"/>
        <v>2378</v>
      </c>
      <c r="O26" s="143">
        <f t="shared" si="13"/>
        <v>25</v>
      </c>
      <c r="P26" s="143" t="str">
        <f t="shared" si="14"/>
        <v>n</v>
      </c>
      <c r="Q26" s="143" t="str">
        <f t="shared" si="15"/>
        <v>n</v>
      </c>
      <c r="R26" s="143" t="str">
        <f t="shared" si="16"/>
        <v>n</v>
      </c>
      <c r="S26" s="143">
        <f t="shared" si="17"/>
        <v>55</v>
      </c>
      <c r="T26" s="143">
        <f t="shared" si="18"/>
        <v>171</v>
      </c>
      <c r="U26" s="143">
        <f t="shared" si="19"/>
        <v>50</v>
      </c>
      <c r="V26" s="143">
        <f t="shared" si="20"/>
        <v>239</v>
      </c>
      <c r="W26" s="143" t="str">
        <f t="shared" si="21"/>
        <v>n</v>
      </c>
      <c r="X26" s="143" t="str">
        <f t="shared" si="22"/>
        <v>n</v>
      </c>
      <c r="Y26" s="7" t="s">
        <v>41</v>
      </c>
      <c r="Z26" s="141">
        <f t="shared" si="23"/>
        <v>2463</v>
      </c>
      <c r="AA26" s="141">
        <f t="shared" si="24"/>
        <v>646</v>
      </c>
      <c r="AB26" s="141" t="str">
        <f t="shared" si="25"/>
        <v>n</v>
      </c>
      <c r="AC26" s="141" t="str">
        <f t="shared" si="26"/>
        <v>n</v>
      </c>
      <c r="AD26" s="141" t="str">
        <f t="shared" si="27"/>
        <v>n</v>
      </c>
      <c r="AE26" s="141">
        <f t="shared" si="28"/>
        <v>467</v>
      </c>
      <c r="AF26" s="141">
        <f t="shared" si="29"/>
        <v>1014</v>
      </c>
      <c r="AG26" s="141">
        <f t="shared" si="30"/>
        <v>1597</v>
      </c>
      <c r="AH26" s="141">
        <f t="shared" si="31"/>
        <v>985</v>
      </c>
      <c r="AI26" s="141" t="str">
        <f t="shared" si="32"/>
        <v>n</v>
      </c>
      <c r="AJ26" s="141" t="str">
        <f t="shared" si="33"/>
        <v>n</v>
      </c>
      <c r="AO26" s="142" t="s">
        <v>233</v>
      </c>
      <c r="AP26" s="142" t="s">
        <v>541</v>
      </c>
      <c r="AQ26" s="86" t="s">
        <v>536</v>
      </c>
      <c r="AR26" s="142" t="s">
        <v>44</v>
      </c>
      <c r="AS26" s="7">
        <v>2013</v>
      </c>
      <c r="AT26" s="7">
        <v>86218</v>
      </c>
      <c r="AU26" s="7">
        <v>1188</v>
      </c>
      <c r="AW26" s="345" t="s">
        <v>536</v>
      </c>
      <c r="AX26" s="142" t="b">
        <f t="shared" si="0"/>
        <v>1</v>
      </c>
    </row>
    <row r="27" spans="1:50" ht="12.75" customHeight="1">
      <c r="A27" s="7" t="s">
        <v>44</v>
      </c>
      <c r="B27" s="143">
        <f t="shared" si="1"/>
        <v>2013</v>
      </c>
      <c r="C27" s="143">
        <f t="shared" si="2"/>
        <v>105</v>
      </c>
      <c r="D27" s="143">
        <f t="shared" si="3"/>
        <v>117</v>
      </c>
      <c r="E27" s="143">
        <f t="shared" si="4"/>
        <v>123</v>
      </c>
      <c r="F27" s="143">
        <f t="shared" si="5"/>
        <v>134</v>
      </c>
      <c r="G27" s="143">
        <f t="shared" si="6"/>
        <v>204</v>
      </c>
      <c r="H27" s="143">
        <f t="shared" si="7"/>
        <v>269</v>
      </c>
      <c r="I27" s="143">
        <f t="shared" si="8"/>
        <v>511</v>
      </c>
      <c r="J27" s="143">
        <f t="shared" si="9"/>
        <v>294</v>
      </c>
      <c r="K27" s="143">
        <f t="shared" si="10"/>
        <v>104</v>
      </c>
      <c r="L27" s="143">
        <f t="shared" si="11"/>
        <v>93</v>
      </c>
      <c r="M27" s="7" t="s">
        <v>44</v>
      </c>
      <c r="N27" s="143">
        <f t="shared" si="12"/>
        <v>86218</v>
      </c>
      <c r="O27" s="143">
        <f t="shared" si="13"/>
        <v>4412</v>
      </c>
      <c r="P27" s="143">
        <f t="shared" si="14"/>
        <v>3028</v>
      </c>
      <c r="Q27" s="143">
        <f t="shared" si="15"/>
        <v>4592</v>
      </c>
      <c r="R27" s="143">
        <f t="shared" si="16"/>
        <v>2810</v>
      </c>
      <c r="S27" s="143">
        <f t="shared" si="17"/>
        <v>6603</v>
      </c>
      <c r="T27" s="143">
        <f t="shared" si="18"/>
        <v>22024</v>
      </c>
      <c r="U27" s="143">
        <f t="shared" si="19"/>
        <v>16089</v>
      </c>
      <c r="V27" s="143">
        <f t="shared" si="20"/>
        <v>15050</v>
      </c>
      <c r="W27" s="143">
        <f t="shared" si="21"/>
        <v>9102</v>
      </c>
      <c r="X27" s="143">
        <f t="shared" si="22"/>
        <v>2289</v>
      </c>
      <c r="Y27" s="7" t="s">
        <v>44</v>
      </c>
      <c r="Z27" s="141">
        <f t="shared" si="23"/>
        <v>1188</v>
      </c>
      <c r="AA27" s="141">
        <f t="shared" si="24"/>
        <v>959</v>
      </c>
      <c r="AB27" s="141">
        <f t="shared" si="25"/>
        <v>933</v>
      </c>
      <c r="AC27" s="141">
        <f t="shared" si="26"/>
        <v>953</v>
      </c>
      <c r="AD27" s="141">
        <f t="shared" si="27"/>
        <v>1005</v>
      </c>
      <c r="AE27" s="141">
        <f t="shared" si="28"/>
        <v>1056</v>
      </c>
      <c r="AF27" s="141">
        <f t="shared" si="29"/>
        <v>1334</v>
      </c>
      <c r="AG27" s="141">
        <f t="shared" si="30"/>
        <v>1245</v>
      </c>
      <c r="AH27" s="141">
        <f t="shared" si="31"/>
        <v>1191</v>
      </c>
      <c r="AI27" s="141">
        <f t="shared" si="32"/>
        <v>1222</v>
      </c>
      <c r="AJ27" s="141">
        <f t="shared" si="33"/>
        <v>962</v>
      </c>
      <c r="AO27" s="142" t="s">
        <v>233</v>
      </c>
      <c r="AP27" s="142" t="s">
        <v>542</v>
      </c>
      <c r="AQ27" s="86" t="s">
        <v>536</v>
      </c>
      <c r="AR27" s="142" t="s">
        <v>45</v>
      </c>
      <c r="AS27" s="7">
        <v>405</v>
      </c>
      <c r="AT27" s="7">
        <v>9020</v>
      </c>
      <c r="AU27" s="7">
        <v>1941</v>
      </c>
      <c r="AW27" s="345" t="s">
        <v>536</v>
      </c>
      <c r="AX27" s="142" t="b">
        <f t="shared" si="0"/>
        <v>1</v>
      </c>
    </row>
    <row r="28" spans="1:50" ht="12.75" customHeight="1">
      <c r="A28" s="7" t="s">
        <v>45</v>
      </c>
      <c r="B28" s="143">
        <f t="shared" si="1"/>
        <v>405</v>
      </c>
      <c r="C28" s="143">
        <f t="shared" si="2"/>
        <v>21</v>
      </c>
      <c r="D28" s="143">
        <f t="shared" si="3"/>
        <v>31</v>
      </c>
      <c r="E28" s="143">
        <f t="shared" si="4"/>
        <v>27</v>
      </c>
      <c r="F28" s="143">
        <f t="shared" si="5"/>
        <v>19</v>
      </c>
      <c r="G28" s="143">
        <f t="shared" si="6"/>
        <v>41</v>
      </c>
      <c r="H28" s="143">
        <f t="shared" si="7"/>
        <v>65</v>
      </c>
      <c r="I28" s="143">
        <f t="shared" si="8"/>
        <v>47</v>
      </c>
      <c r="J28" s="143">
        <f t="shared" si="9"/>
        <v>65</v>
      </c>
      <c r="K28" s="143">
        <f t="shared" si="10"/>
        <v>21</v>
      </c>
      <c r="L28" s="143">
        <f t="shared" si="11"/>
        <v>16</v>
      </c>
      <c r="M28" s="7" t="s">
        <v>45</v>
      </c>
      <c r="N28" s="143">
        <f t="shared" si="12"/>
        <v>9020</v>
      </c>
      <c r="O28" s="143">
        <f t="shared" si="13"/>
        <v>132</v>
      </c>
      <c r="P28" s="143">
        <f t="shared" si="14"/>
        <v>131</v>
      </c>
      <c r="Q28" s="143">
        <f t="shared" si="15"/>
        <v>172</v>
      </c>
      <c r="R28" s="143">
        <f t="shared" si="16"/>
        <v>344</v>
      </c>
      <c r="S28" s="143">
        <f t="shared" si="17"/>
        <v>560</v>
      </c>
      <c r="T28" s="143">
        <f t="shared" si="18"/>
        <v>4627</v>
      </c>
      <c r="U28" s="143">
        <f t="shared" si="19"/>
        <v>881</v>
      </c>
      <c r="V28" s="143">
        <f t="shared" si="20"/>
        <v>1557</v>
      </c>
      <c r="W28" s="143">
        <f t="shared" si="21"/>
        <v>331</v>
      </c>
      <c r="X28" s="143">
        <f t="shared" si="22"/>
        <v>74</v>
      </c>
      <c r="Y28" s="7" t="s">
        <v>45</v>
      </c>
      <c r="Z28" s="141">
        <f t="shared" si="23"/>
        <v>1941</v>
      </c>
      <c r="AA28" s="141">
        <f t="shared" si="24"/>
        <v>1484</v>
      </c>
      <c r="AB28" s="141">
        <f t="shared" si="25"/>
        <v>1433</v>
      </c>
      <c r="AC28" s="141">
        <f t="shared" si="26"/>
        <v>1409</v>
      </c>
      <c r="AD28" s="141">
        <f t="shared" si="27"/>
        <v>1711</v>
      </c>
      <c r="AE28" s="141">
        <f t="shared" si="28"/>
        <v>1564</v>
      </c>
      <c r="AF28" s="141">
        <f t="shared" si="29"/>
        <v>2078</v>
      </c>
      <c r="AG28" s="141">
        <f t="shared" si="30"/>
        <v>1940</v>
      </c>
      <c r="AH28" s="141">
        <f t="shared" si="31"/>
        <v>1848</v>
      </c>
      <c r="AI28" s="141">
        <f t="shared" si="32"/>
        <v>1703</v>
      </c>
      <c r="AJ28" s="141">
        <f t="shared" si="33"/>
        <v>1639</v>
      </c>
      <c r="AO28" s="142" t="s">
        <v>233</v>
      </c>
      <c r="AP28" s="142" t="s">
        <v>543</v>
      </c>
      <c r="AQ28" s="86" t="s">
        <v>536</v>
      </c>
      <c r="AR28" s="142" t="s">
        <v>46</v>
      </c>
      <c r="AS28" s="7">
        <v>823</v>
      </c>
      <c r="AT28" s="7">
        <v>19499</v>
      </c>
      <c r="AU28" s="7">
        <v>1214</v>
      </c>
      <c r="AW28" s="345" t="s">
        <v>536</v>
      </c>
      <c r="AX28" s="142" t="b">
        <f t="shared" si="0"/>
        <v>1</v>
      </c>
    </row>
    <row r="29" spans="1:50" ht="12.75" customHeight="1">
      <c r="A29" s="7" t="s">
        <v>46</v>
      </c>
      <c r="B29" s="143">
        <f t="shared" si="1"/>
        <v>823</v>
      </c>
      <c r="C29" s="143">
        <f t="shared" si="2"/>
        <v>42</v>
      </c>
      <c r="D29" s="143">
        <f t="shared" si="3"/>
        <v>34</v>
      </c>
      <c r="E29" s="143">
        <f t="shared" si="4"/>
        <v>42</v>
      </c>
      <c r="F29" s="143">
        <f t="shared" si="5"/>
        <v>61</v>
      </c>
      <c r="G29" s="143">
        <f t="shared" si="6"/>
        <v>58</v>
      </c>
      <c r="H29" s="143">
        <f t="shared" si="7"/>
        <v>90</v>
      </c>
      <c r="I29" s="143">
        <f t="shared" si="8"/>
        <v>348</v>
      </c>
      <c r="J29" s="143">
        <f t="shared" si="9"/>
        <v>84</v>
      </c>
      <c r="K29" s="143">
        <f t="shared" si="10"/>
        <v>38</v>
      </c>
      <c r="L29" s="143">
        <f t="shared" si="11"/>
        <v>23</v>
      </c>
      <c r="M29" s="7" t="s">
        <v>46</v>
      </c>
      <c r="N29" s="143">
        <f t="shared" si="12"/>
        <v>19499</v>
      </c>
      <c r="O29" s="143">
        <f t="shared" si="13"/>
        <v>758</v>
      </c>
      <c r="P29" s="143">
        <f t="shared" si="14"/>
        <v>192</v>
      </c>
      <c r="Q29" s="143">
        <f t="shared" si="15"/>
        <v>902</v>
      </c>
      <c r="R29" s="143">
        <f t="shared" si="16"/>
        <v>561</v>
      </c>
      <c r="S29" s="143">
        <f t="shared" si="17"/>
        <v>1314</v>
      </c>
      <c r="T29" s="143">
        <f t="shared" si="18"/>
        <v>1849</v>
      </c>
      <c r="U29" s="143">
        <f t="shared" si="19"/>
        <v>8668</v>
      </c>
      <c r="V29" s="143">
        <f t="shared" si="20"/>
        <v>1090</v>
      </c>
      <c r="W29" s="143">
        <f t="shared" si="21"/>
        <v>3905</v>
      </c>
      <c r="X29" s="143">
        <f t="shared" si="22"/>
        <v>257</v>
      </c>
      <c r="Y29" s="7" t="s">
        <v>46</v>
      </c>
      <c r="Z29" s="141">
        <f t="shared" si="23"/>
        <v>1214</v>
      </c>
      <c r="AA29" s="141">
        <f t="shared" si="24"/>
        <v>1018</v>
      </c>
      <c r="AB29" s="141">
        <f t="shared" si="25"/>
        <v>1125</v>
      </c>
      <c r="AC29" s="141">
        <f t="shared" si="26"/>
        <v>1128</v>
      </c>
      <c r="AD29" s="141">
        <f t="shared" si="27"/>
        <v>1257</v>
      </c>
      <c r="AE29" s="141">
        <f t="shared" si="28"/>
        <v>943</v>
      </c>
      <c r="AF29" s="141">
        <f t="shared" si="29"/>
        <v>980</v>
      </c>
      <c r="AG29" s="141">
        <f t="shared" si="30"/>
        <v>1295</v>
      </c>
      <c r="AH29" s="141">
        <f t="shared" si="31"/>
        <v>890</v>
      </c>
      <c r="AI29" s="141">
        <f t="shared" si="32"/>
        <v>1400</v>
      </c>
      <c r="AJ29" s="141">
        <f t="shared" si="33"/>
        <v>971</v>
      </c>
      <c r="AN29" s="142" t="s">
        <v>533</v>
      </c>
      <c r="AO29" s="142" t="s">
        <v>233</v>
      </c>
      <c r="AP29" s="142" t="s">
        <v>544</v>
      </c>
      <c r="AQ29" s="86" t="s">
        <v>536</v>
      </c>
      <c r="AR29" s="142" t="s">
        <v>47</v>
      </c>
      <c r="AS29" s="7">
        <v>785</v>
      </c>
      <c r="AT29" s="7">
        <v>57699</v>
      </c>
      <c r="AU29" s="7">
        <v>1062</v>
      </c>
      <c r="AW29" s="345" t="s">
        <v>536</v>
      </c>
      <c r="AX29" s="142" t="b">
        <f t="shared" si="0"/>
        <v>1</v>
      </c>
    </row>
    <row r="30" spans="1:50" ht="12.75" customHeight="1">
      <c r="A30" s="7" t="s">
        <v>47</v>
      </c>
      <c r="B30" s="143">
        <f t="shared" si="1"/>
        <v>785</v>
      </c>
      <c r="C30" s="143">
        <f t="shared" si="2"/>
        <v>42</v>
      </c>
      <c r="D30" s="143">
        <f t="shared" si="3"/>
        <v>52</v>
      </c>
      <c r="E30" s="143">
        <f t="shared" si="4"/>
        <v>54</v>
      </c>
      <c r="F30" s="143">
        <f t="shared" si="5"/>
        <v>54</v>
      </c>
      <c r="G30" s="143">
        <f t="shared" si="6"/>
        <v>105</v>
      </c>
      <c r="H30" s="143">
        <f t="shared" si="7"/>
        <v>114</v>
      </c>
      <c r="I30" s="143">
        <f t="shared" si="8"/>
        <v>116</v>
      </c>
      <c r="J30" s="143">
        <f t="shared" si="9"/>
        <v>145</v>
      </c>
      <c r="K30" s="143">
        <f t="shared" si="10"/>
        <v>45</v>
      </c>
      <c r="L30" s="143">
        <f t="shared" si="11"/>
        <v>54</v>
      </c>
      <c r="M30" s="7" t="s">
        <v>47</v>
      </c>
      <c r="N30" s="143">
        <f t="shared" si="12"/>
        <v>57699</v>
      </c>
      <c r="O30" s="143">
        <f t="shared" si="13"/>
        <v>3521</v>
      </c>
      <c r="P30" s="143">
        <f t="shared" si="14"/>
        <v>2705</v>
      </c>
      <c r="Q30" s="143">
        <f t="shared" si="15"/>
        <v>3518</v>
      </c>
      <c r="R30" s="143">
        <f t="shared" si="16"/>
        <v>1905</v>
      </c>
      <c r="S30" s="143">
        <f t="shared" si="17"/>
        <v>4729</v>
      </c>
      <c r="T30" s="143">
        <f t="shared" si="18"/>
        <v>15548</v>
      </c>
      <c r="U30" s="143">
        <f t="shared" si="19"/>
        <v>6541</v>
      </c>
      <c r="V30" s="143">
        <f t="shared" si="20"/>
        <v>12403</v>
      </c>
      <c r="W30" s="143">
        <f t="shared" si="21"/>
        <v>4866</v>
      </c>
      <c r="X30" s="143">
        <f t="shared" si="22"/>
        <v>1957</v>
      </c>
      <c r="Y30" s="7" t="s">
        <v>47</v>
      </c>
      <c r="Z30" s="141">
        <f t="shared" si="23"/>
        <v>1062</v>
      </c>
      <c r="AA30" s="141">
        <f t="shared" si="24"/>
        <v>926</v>
      </c>
      <c r="AB30" s="141">
        <f t="shared" si="25"/>
        <v>895</v>
      </c>
      <c r="AC30" s="141">
        <f t="shared" si="26"/>
        <v>885</v>
      </c>
      <c r="AD30" s="141">
        <f t="shared" si="27"/>
        <v>803</v>
      </c>
      <c r="AE30" s="141">
        <f t="shared" si="28"/>
        <v>1027</v>
      </c>
      <c r="AF30" s="141">
        <f t="shared" si="29"/>
        <v>1155</v>
      </c>
      <c r="AG30" s="141">
        <f t="shared" si="30"/>
        <v>1086</v>
      </c>
      <c r="AH30" s="141">
        <f t="shared" si="31"/>
        <v>1135</v>
      </c>
      <c r="AI30" s="141">
        <f t="shared" si="32"/>
        <v>1047</v>
      </c>
      <c r="AJ30" s="141">
        <f t="shared" si="33"/>
        <v>935</v>
      </c>
      <c r="AN30" s="142" t="s">
        <v>94</v>
      </c>
      <c r="AO30" s="7" t="s">
        <v>264</v>
      </c>
      <c r="AP30" s="7" t="s">
        <v>535</v>
      </c>
      <c r="AQ30" s="86" t="s">
        <v>536</v>
      </c>
      <c r="AR30" s="7" t="s">
        <v>42</v>
      </c>
      <c r="AS30">
        <v>1964</v>
      </c>
      <c r="AT30">
        <v>24925</v>
      </c>
      <c r="AU30">
        <v>1053</v>
      </c>
      <c r="AV30"/>
      <c r="AW30" s="344" t="s">
        <v>536</v>
      </c>
      <c r="AX30" s="142" t="b">
        <f t="shared" si="0"/>
        <v>1</v>
      </c>
    </row>
    <row r="31" spans="1:50" ht="12.75" customHeight="1">
      <c r="A31" s="24"/>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N31" s="142" t="s">
        <v>533</v>
      </c>
      <c r="AO31" s="7" t="s">
        <v>264</v>
      </c>
      <c r="AP31" s="7" t="s">
        <v>537</v>
      </c>
      <c r="AQ31" s="86" t="s">
        <v>536</v>
      </c>
      <c r="AR31" s="7" t="s">
        <v>43</v>
      </c>
      <c r="AS31">
        <v>1859</v>
      </c>
      <c r="AT31">
        <v>20514</v>
      </c>
      <c r="AU31">
        <v>1074</v>
      </c>
      <c r="AV31"/>
      <c r="AW31" s="344" t="s">
        <v>536</v>
      </c>
      <c r="AX31" s="142" t="b">
        <f t="shared" si="0"/>
        <v>1</v>
      </c>
    </row>
    <row r="32" spans="1:50" ht="12.75" customHeight="1">
      <c r="A32" s="98" t="s">
        <v>168</v>
      </c>
      <c r="J32" s="398" t="s">
        <v>251</v>
      </c>
      <c r="K32" s="398"/>
      <c r="L32" s="398"/>
      <c r="M32" s="92" t="s">
        <v>173</v>
      </c>
      <c r="N32" s="92">
        <f>Q42</f>
        <v>101780</v>
      </c>
      <c r="O32" s="92">
        <f>Q45</f>
        <v>3468</v>
      </c>
      <c r="P32" s="92">
        <f>Q48</f>
        <v>2067</v>
      </c>
      <c r="Q32" s="92">
        <f>Q51</f>
        <v>7099</v>
      </c>
      <c r="R32" s="92">
        <f>Q54</f>
        <v>1299</v>
      </c>
      <c r="S32" s="92">
        <f>Q57</f>
        <v>6663</v>
      </c>
      <c r="T32" s="92">
        <f>Q60</f>
        <v>34515</v>
      </c>
      <c r="U32" s="92">
        <f>Q63</f>
        <v>9980</v>
      </c>
      <c r="V32" s="92">
        <f>Q66</f>
        <v>24333</v>
      </c>
      <c r="W32" s="92">
        <f>Q69</f>
        <v>6970</v>
      </c>
      <c r="X32" s="92">
        <f>Q72</f>
        <v>3872</v>
      </c>
      <c r="Y32" s="92"/>
      <c r="Z32" s="92">
        <f>R42</f>
        <v>1667</v>
      </c>
      <c r="AA32" s="92">
        <f>R45</f>
        <v>1312</v>
      </c>
      <c r="AB32" s="92">
        <f>R48</f>
        <v>1032</v>
      </c>
      <c r="AC32" s="92">
        <f>R51</f>
        <v>1444</v>
      </c>
      <c r="AD32" s="92">
        <f>R54</f>
        <v>1317</v>
      </c>
      <c r="AE32" s="92">
        <f>R57</f>
        <v>1297</v>
      </c>
      <c r="AF32" s="92">
        <f>R60</f>
        <v>2008</v>
      </c>
      <c r="AG32" s="92">
        <f>R63</f>
        <v>1360</v>
      </c>
      <c r="AH32" s="92">
        <f>R66</f>
        <v>1680</v>
      </c>
      <c r="AI32" s="92">
        <f>R69</f>
        <v>1434</v>
      </c>
      <c r="AJ32" s="92">
        <f>R72</f>
        <v>1330</v>
      </c>
      <c r="AN32" s="142" t="s">
        <v>533</v>
      </c>
      <c r="AO32" s="7" t="s">
        <v>264</v>
      </c>
      <c r="AP32" s="7" t="s">
        <v>537</v>
      </c>
      <c r="AQ32" s="7" t="s">
        <v>265</v>
      </c>
      <c r="AR32" s="7" t="s">
        <v>20</v>
      </c>
      <c r="AS32">
        <v>341</v>
      </c>
      <c r="AT32">
        <v>3572</v>
      </c>
      <c r="AU32">
        <v>1368</v>
      </c>
      <c r="AV32"/>
      <c r="AW32" s="344" t="s">
        <v>265</v>
      </c>
      <c r="AX32" s="142" t="b">
        <f t="shared" si="0"/>
        <v>1</v>
      </c>
    </row>
    <row r="33" spans="1:50" ht="13.5" customHeight="1">
      <c r="A33" s="98" t="s">
        <v>167</v>
      </c>
      <c r="J33" s="398" t="s">
        <v>252</v>
      </c>
      <c r="K33" s="398"/>
      <c r="L33" s="398"/>
      <c r="M33" s="92" t="s">
        <v>174</v>
      </c>
      <c r="N33" s="92">
        <f>Q43</f>
        <v>485325</v>
      </c>
      <c r="O33" s="92">
        <f>Q46</f>
        <v>16794</v>
      </c>
      <c r="P33" s="92">
        <f>Q49</f>
        <v>13789</v>
      </c>
      <c r="Q33" s="92">
        <f>Q52</f>
        <v>19446</v>
      </c>
      <c r="R33" s="92">
        <f>Q55</f>
        <v>7589</v>
      </c>
      <c r="S33" s="92">
        <f>Q58</f>
        <v>40480</v>
      </c>
      <c r="T33" s="92">
        <f>Q61</f>
        <v>144400</v>
      </c>
      <c r="U33" s="92">
        <f>Q64</f>
        <v>50123</v>
      </c>
      <c r="V33" s="92">
        <f>Q67</f>
        <v>111491</v>
      </c>
      <c r="W33" s="92">
        <f>Q70</f>
        <v>31207</v>
      </c>
      <c r="X33" s="92">
        <f>Q73</f>
        <v>7333</v>
      </c>
      <c r="Y33" s="92"/>
      <c r="Z33" s="92">
        <f>R43</f>
        <v>1475</v>
      </c>
      <c r="AA33" s="92">
        <f>R46</f>
        <v>970</v>
      </c>
      <c r="AB33" s="92">
        <f>R49</f>
        <v>889</v>
      </c>
      <c r="AC33" s="92">
        <f>R52</f>
        <v>1014</v>
      </c>
      <c r="AD33" s="92">
        <f>R55</f>
        <v>939</v>
      </c>
      <c r="AE33" s="92">
        <f>R58</f>
        <v>1390</v>
      </c>
      <c r="AF33" s="92">
        <f>R61</f>
        <v>1421</v>
      </c>
      <c r="AG33" s="92">
        <f>R64</f>
        <v>1233</v>
      </c>
      <c r="AH33" s="92">
        <f>R67</f>
        <v>1399</v>
      </c>
      <c r="AI33" s="92">
        <f>R70</f>
        <v>1301</v>
      </c>
      <c r="AJ33" s="92">
        <f>R73</f>
        <v>967</v>
      </c>
      <c r="AN33" s="142" t="s">
        <v>533</v>
      </c>
      <c r="AO33" s="7" t="s">
        <v>264</v>
      </c>
      <c r="AP33" s="7" t="s">
        <v>537</v>
      </c>
      <c r="AQ33" s="7" t="s">
        <v>266</v>
      </c>
      <c r="AR33" s="7" t="s">
        <v>21</v>
      </c>
      <c r="AS33" t="s">
        <v>586</v>
      </c>
      <c r="AT33" t="s">
        <v>586</v>
      </c>
      <c r="AU33" t="s">
        <v>586</v>
      </c>
      <c r="AV33"/>
      <c r="AW33" s="344" t="s">
        <v>266</v>
      </c>
      <c r="AX33" s="142" t="b">
        <f t="shared" si="0"/>
        <v>1</v>
      </c>
    </row>
    <row r="34" spans="1:50" ht="12.75" customHeight="1">
      <c r="A34" s="98" t="s">
        <v>169</v>
      </c>
      <c r="C34" s="399" t="s">
        <v>305</v>
      </c>
      <c r="D34" s="400"/>
      <c r="E34" s="401">
        <v>45593</v>
      </c>
      <c r="F34" s="402"/>
      <c r="J34" s="92"/>
      <c r="K34" s="92"/>
      <c r="L34" s="92"/>
      <c r="M34" s="92" t="s">
        <v>175</v>
      </c>
      <c r="N34" s="92">
        <f>Q44</f>
        <v>84033</v>
      </c>
      <c r="O34" s="92">
        <f>Q47</f>
        <v>4308</v>
      </c>
      <c r="P34" s="92">
        <f>Q50</f>
        <v>2961</v>
      </c>
      <c r="Q34" s="92">
        <f>Q53</f>
        <v>4491</v>
      </c>
      <c r="R34" s="92">
        <f>Q56</f>
        <v>2601</v>
      </c>
      <c r="S34" s="92">
        <f>Q59</f>
        <v>6411</v>
      </c>
      <c r="T34" s="92">
        <f>Q62</f>
        <v>21346</v>
      </c>
      <c r="U34" s="92">
        <f>Q65</f>
        <v>15977</v>
      </c>
      <c r="V34" s="92">
        <f>Q68</f>
        <v>14630</v>
      </c>
      <c r="W34" s="92">
        <f>Q71</f>
        <v>8900</v>
      </c>
      <c r="X34" s="92">
        <f>Q74</f>
        <v>2235</v>
      </c>
      <c r="Y34" s="92"/>
      <c r="Z34" s="92">
        <f>R44</f>
        <v>1136</v>
      </c>
      <c r="AA34" s="92">
        <f>R47</f>
        <v>918</v>
      </c>
      <c r="AB34" s="92">
        <f>R50</f>
        <v>932</v>
      </c>
      <c r="AC34" s="92">
        <f>R53</f>
        <v>956</v>
      </c>
      <c r="AD34" s="92">
        <f>R56</f>
        <v>954</v>
      </c>
      <c r="AE34" s="92">
        <f>R59</f>
        <v>1006</v>
      </c>
      <c r="AF34" s="92">
        <f>R62</f>
        <v>1296</v>
      </c>
      <c r="AG34" s="92">
        <f>R65</f>
        <v>1128</v>
      </c>
      <c r="AH34" s="92">
        <f>R68</f>
        <v>1140</v>
      </c>
      <c r="AI34" s="92">
        <f>R71</f>
        <v>1203</v>
      </c>
      <c r="AJ34" s="92">
        <f>R74</f>
        <v>907</v>
      </c>
      <c r="AN34" s="142" t="s">
        <v>533</v>
      </c>
      <c r="AO34" s="7" t="s">
        <v>264</v>
      </c>
      <c r="AP34" s="7" t="s">
        <v>537</v>
      </c>
      <c r="AQ34" s="7" t="s">
        <v>267</v>
      </c>
      <c r="AR34" s="7" t="s">
        <v>22</v>
      </c>
      <c r="AS34" t="s">
        <v>586</v>
      </c>
      <c r="AT34" t="s">
        <v>586</v>
      </c>
      <c r="AU34" t="s">
        <v>586</v>
      </c>
      <c r="AV34"/>
      <c r="AW34" s="344" t="s">
        <v>267</v>
      </c>
      <c r="AX34" s="142" t="b">
        <f t="shared" si="0"/>
        <v>1</v>
      </c>
    </row>
    <row r="35" spans="1:50" ht="12.75" customHeight="1">
      <c r="A35" s="98" t="s">
        <v>171</v>
      </c>
      <c r="C35" s="209" t="s">
        <v>257</v>
      </c>
      <c r="D35" s="303"/>
      <c r="E35" s="403" t="s">
        <v>591</v>
      </c>
      <c r="F35" s="404"/>
      <c r="J35" s="92"/>
      <c r="K35" s="92"/>
      <c r="L35" s="293" t="s">
        <v>251</v>
      </c>
      <c r="M35" s="96"/>
      <c r="N35" s="92">
        <f>(N5-N32)/N32</f>
        <v>-1.0316368638239339E-3</v>
      </c>
      <c r="O35" s="92">
        <f t="shared" ref="O35:X35" si="34">(O5-O32)/O32</f>
        <v>2.9988465974625143E-2</v>
      </c>
      <c r="P35" s="92">
        <f t="shared" si="34"/>
        <v>8.708272859216255E-3</v>
      </c>
      <c r="Q35" s="92">
        <f t="shared" si="34"/>
        <v>4.7894069587265812E-3</v>
      </c>
      <c r="R35" s="92">
        <f t="shared" si="34"/>
        <v>9.2378752886836026E-3</v>
      </c>
      <c r="S35" s="92">
        <f t="shared" si="34"/>
        <v>-1.7409575266396519E-2</v>
      </c>
      <c r="T35" s="92">
        <f t="shared" si="34"/>
        <v>-3.4767492394611041E-3</v>
      </c>
      <c r="U35" s="92">
        <f t="shared" si="34"/>
        <v>-7.0140280561122243E-4</v>
      </c>
      <c r="V35" s="92">
        <f t="shared" si="34"/>
        <v>1.0726174331155221E-2</v>
      </c>
      <c r="W35" s="92">
        <f t="shared" si="34"/>
        <v>-4.4619799139167859E-2</v>
      </c>
      <c r="X35" s="92">
        <f t="shared" si="34"/>
        <v>1.1880165289256199E-2</v>
      </c>
      <c r="Y35" s="92"/>
      <c r="Z35" s="92">
        <f t="shared" ref="Z35:AJ35" si="35">(Z5-Z32)/Z32</f>
        <v>7.858428314337132E-2</v>
      </c>
      <c r="AA35" s="92">
        <f t="shared" si="35"/>
        <v>4.2682926829268296E-2</v>
      </c>
      <c r="AB35" s="92">
        <f t="shared" si="35"/>
        <v>4.5542635658914726E-2</v>
      </c>
      <c r="AC35" s="92">
        <f t="shared" si="35"/>
        <v>2.4930747922437674E-2</v>
      </c>
      <c r="AD35" s="92">
        <f t="shared" si="35"/>
        <v>1.5186028853454821E-2</v>
      </c>
      <c r="AE35" s="92">
        <f t="shared" si="35"/>
        <v>5.9367771781033155E-2</v>
      </c>
      <c r="AF35" s="92">
        <f t="shared" si="35"/>
        <v>0.10209163346613546</v>
      </c>
      <c r="AG35" s="92">
        <f t="shared" si="35"/>
        <v>8.2352941176470587E-2</v>
      </c>
      <c r="AH35" s="92">
        <f t="shared" si="35"/>
        <v>7.3809523809523811E-2</v>
      </c>
      <c r="AI35" s="92">
        <f t="shared" si="35"/>
        <v>4.9511854951185492E-2</v>
      </c>
      <c r="AJ35" s="92">
        <f t="shared" si="35"/>
        <v>1.5789473684210527E-2</v>
      </c>
      <c r="AN35" s="142" t="s">
        <v>533</v>
      </c>
      <c r="AO35" s="7" t="s">
        <v>264</v>
      </c>
      <c r="AP35" s="7" t="s">
        <v>537</v>
      </c>
      <c r="AQ35" s="7" t="s">
        <v>268</v>
      </c>
      <c r="AR35" s="7" t="s">
        <v>23</v>
      </c>
      <c r="AS35">
        <v>252</v>
      </c>
      <c r="AT35">
        <v>1397</v>
      </c>
      <c r="AU35">
        <v>1500</v>
      </c>
      <c r="AV35"/>
      <c r="AW35" s="344" t="s">
        <v>268</v>
      </c>
      <c r="AX35" s="142" t="b">
        <f t="shared" si="0"/>
        <v>1</v>
      </c>
    </row>
    <row r="36" spans="1:50" ht="12.75" customHeight="1">
      <c r="A36" s="98" t="s">
        <v>170</v>
      </c>
      <c r="J36" s="92"/>
      <c r="K36" s="92"/>
      <c r="L36" s="293" t="s">
        <v>252</v>
      </c>
      <c r="M36" s="96"/>
      <c r="N36" s="92">
        <f t="shared" ref="N36:X36" si="36">(N10-N33)/N33</f>
        <v>1.2202132591562356E-2</v>
      </c>
      <c r="O36" s="92">
        <f t="shared" si="36"/>
        <v>8.8126711920924142E-3</v>
      </c>
      <c r="P36" s="92">
        <f>(P10-P33)/P33</f>
        <v>1.5229530785408659E-3</v>
      </c>
      <c r="Q36" s="92">
        <f t="shared" si="36"/>
        <v>-3.0340429908464464E-3</v>
      </c>
      <c r="R36" s="92">
        <f t="shared" si="36"/>
        <v>2.5036236658321255E-3</v>
      </c>
      <c r="S36" s="92">
        <f t="shared" si="36"/>
        <v>1.7712450592885374E-2</v>
      </c>
      <c r="T36" s="92">
        <f t="shared" si="36"/>
        <v>-4.2659279778393348E-3</v>
      </c>
      <c r="U36" s="92">
        <f t="shared" si="36"/>
        <v>1.4185104642579256E-2</v>
      </c>
      <c r="V36" s="92">
        <f t="shared" si="36"/>
        <v>2.1777542581912442E-2</v>
      </c>
      <c r="W36" s="92">
        <f t="shared" si="36"/>
        <v>-2.3840804947607909E-2</v>
      </c>
      <c r="X36" s="92">
        <f t="shared" si="36"/>
        <v>1.6909859539069958E-2</v>
      </c>
      <c r="Y36" s="92"/>
      <c r="Z36" s="92">
        <f t="shared" ref="Z36:AJ36" si="37">(Z10-Z33)/Z33</f>
        <v>4.2033898305084749E-2</v>
      </c>
      <c r="AA36" s="92">
        <f t="shared" si="37"/>
        <v>4.3298969072164947E-2</v>
      </c>
      <c r="AB36" s="92">
        <f t="shared" si="37"/>
        <v>4.8368953880764905E-2</v>
      </c>
      <c r="AC36" s="92">
        <f t="shared" si="37"/>
        <v>5.2268244575936887E-2</v>
      </c>
      <c r="AD36" s="92">
        <f t="shared" si="37"/>
        <v>4.1533546325878593E-2</v>
      </c>
      <c r="AE36" s="92">
        <f t="shared" si="37"/>
        <v>3.3093525179856115E-2</v>
      </c>
      <c r="AF36" s="92">
        <f t="shared" si="37"/>
        <v>1.1963406052076003E-2</v>
      </c>
      <c r="AG36" s="92">
        <f t="shared" si="37"/>
        <v>2.02757502027575E-2</v>
      </c>
      <c r="AH36" s="92">
        <f t="shared" si="37"/>
        <v>4.5032165832737669E-2</v>
      </c>
      <c r="AI36" s="92">
        <f t="shared" si="37"/>
        <v>-1.6141429669485011E-2</v>
      </c>
      <c r="AJ36" s="92">
        <f t="shared" si="37"/>
        <v>2.3784901758014478E-2</v>
      </c>
      <c r="AN36" s="142" t="s">
        <v>533</v>
      </c>
      <c r="AO36" s="7" t="s">
        <v>264</v>
      </c>
      <c r="AP36" s="7" t="s">
        <v>537</v>
      </c>
      <c r="AQ36" s="7" t="s">
        <v>538</v>
      </c>
      <c r="AR36" s="7" t="s">
        <v>24</v>
      </c>
      <c r="AS36">
        <v>74</v>
      </c>
      <c r="AT36">
        <v>2066</v>
      </c>
      <c r="AU36">
        <v>1284</v>
      </c>
      <c r="AV36"/>
      <c r="AW36" s="344" t="s">
        <v>538</v>
      </c>
      <c r="AX36" s="142" t="b">
        <f t="shared" si="0"/>
        <v>1</v>
      </c>
    </row>
    <row r="37" spans="1:50" ht="12.75" customHeight="1">
      <c r="A37" s="98" t="s">
        <v>172</v>
      </c>
      <c r="J37" s="92"/>
      <c r="K37" s="92"/>
      <c r="L37" s="92"/>
      <c r="M37" s="92"/>
      <c r="N37" s="92">
        <f t="shared" ref="N37:X37" si="38">(N27-N34)/N34</f>
        <v>2.6001689812335631E-2</v>
      </c>
      <c r="O37" s="92">
        <f t="shared" si="38"/>
        <v>2.414113277623027E-2</v>
      </c>
      <c r="P37" s="92">
        <f t="shared" si="38"/>
        <v>2.2627490712597096E-2</v>
      </c>
      <c r="Q37" s="92">
        <f t="shared" si="38"/>
        <v>2.2489423291026496E-2</v>
      </c>
      <c r="R37" s="92">
        <f t="shared" si="38"/>
        <v>8.0353710111495585E-2</v>
      </c>
      <c r="S37" s="92">
        <f t="shared" si="38"/>
        <v>2.9948525970987367E-2</v>
      </c>
      <c r="T37" s="92">
        <f t="shared" si="38"/>
        <v>3.1762391080296076E-2</v>
      </c>
      <c r="U37" s="92">
        <f t="shared" si="38"/>
        <v>7.0100769856668958E-3</v>
      </c>
      <c r="V37" s="92">
        <f t="shared" si="38"/>
        <v>2.8708133971291867E-2</v>
      </c>
      <c r="W37" s="92">
        <f t="shared" si="38"/>
        <v>2.2696629213483147E-2</v>
      </c>
      <c r="X37" s="92">
        <f t="shared" si="38"/>
        <v>2.4161073825503355E-2</v>
      </c>
      <c r="Y37" s="92"/>
      <c r="Z37" s="92">
        <f t="shared" ref="Z37:AJ37" si="39">(Z27-Z34)/Z34</f>
        <v>4.5774647887323945E-2</v>
      </c>
      <c r="AA37" s="92">
        <f t="shared" si="39"/>
        <v>4.4662309368191724E-2</v>
      </c>
      <c r="AB37" s="92">
        <f t="shared" si="39"/>
        <v>1.0729613733905579E-3</v>
      </c>
      <c r="AC37" s="92">
        <f t="shared" si="39"/>
        <v>-3.1380753138075313E-3</v>
      </c>
      <c r="AD37" s="92">
        <f t="shared" si="39"/>
        <v>5.3459119496855348E-2</v>
      </c>
      <c r="AE37" s="92">
        <f t="shared" si="39"/>
        <v>4.9701789264413522E-2</v>
      </c>
      <c r="AF37" s="92">
        <f t="shared" si="39"/>
        <v>2.9320987654320986E-2</v>
      </c>
      <c r="AG37" s="92">
        <f t="shared" si="39"/>
        <v>0.10372340425531915</v>
      </c>
      <c r="AH37" s="92">
        <f t="shared" si="39"/>
        <v>4.4736842105263158E-2</v>
      </c>
      <c r="AI37" s="92">
        <f t="shared" si="39"/>
        <v>1.5793848711554447E-2</v>
      </c>
      <c r="AJ37" s="92">
        <f t="shared" si="39"/>
        <v>6.0639470782800443E-2</v>
      </c>
      <c r="AN37" s="142" t="s">
        <v>533</v>
      </c>
      <c r="AO37" s="7" t="s">
        <v>264</v>
      </c>
      <c r="AP37" s="7" t="s">
        <v>537</v>
      </c>
      <c r="AQ37" s="7" t="s">
        <v>269</v>
      </c>
      <c r="AR37" s="7" t="s">
        <v>25</v>
      </c>
      <c r="AS37">
        <v>1518</v>
      </c>
      <c r="AT37">
        <v>16942</v>
      </c>
      <c r="AU37">
        <v>1012</v>
      </c>
      <c r="AV37"/>
      <c r="AW37" s="344" t="s">
        <v>269</v>
      </c>
      <c r="AX37" s="142" t="b">
        <f t="shared" si="0"/>
        <v>1</v>
      </c>
    </row>
    <row r="38" spans="1:50" ht="12.75" customHeight="1">
      <c r="A38" s="99" t="s">
        <v>297</v>
      </c>
      <c r="B38" s="82"/>
      <c r="E38" s="92">
        <v>2</v>
      </c>
      <c r="F38" s="92"/>
      <c r="AN38" s="142" t="s">
        <v>533</v>
      </c>
      <c r="AO38" s="7" t="s">
        <v>264</v>
      </c>
      <c r="AP38" s="7" t="s">
        <v>537</v>
      </c>
      <c r="AQ38" s="7" t="s">
        <v>270</v>
      </c>
      <c r="AR38" s="7" t="s">
        <v>26</v>
      </c>
      <c r="AS38">
        <v>7</v>
      </c>
      <c r="AT38">
        <v>190</v>
      </c>
      <c r="AU38">
        <v>1937</v>
      </c>
      <c r="AV38"/>
      <c r="AW38" s="344" t="s">
        <v>270</v>
      </c>
      <c r="AX38" s="142" t="b">
        <f t="shared" si="0"/>
        <v>1</v>
      </c>
    </row>
    <row r="39" spans="1:50" ht="12.75" customHeight="1">
      <c r="A39" s="100" t="s">
        <v>615</v>
      </c>
      <c r="E39" s="92"/>
      <c r="F39" s="92"/>
      <c r="O39" s="292" t="s">
        <v>295</v>
      </c>
      <c r="AN39" s="142" t="s">
        <v>533</v>
      </c>
      <c r="AO39" s="7" t="s">
        <v>264</v>
      </c>
      <c r="AP39" s="7" t="s">
        <v>537</v>
      </c>
      <c r="AQ39" s="7" t="s">
        <v>271</v>
      </c>
      <c r="AR39" s="7" t="s">
        <v>27</v>
      </c>
      <c r="AS39">
        <v>77</v>
      </c>
      <c r="AT39">
        <v>506</v>
      </c>
      <c r="AU39">
        <v>1839</v>
      </c>
      <c r="AV39"/>
      <c r="AW39" s="344" t="s">
        <v>271</v>
      </c>
      <c r="AX39" s="142" t="b">
        <f t="shared" si="0"/>
        <v>1</v>
      </c>
    </row>
    <row r="40" spans="1:50" ht="12.75" customHeight="1">
      <c r="A40" s="101" t="s">
        <v>171</v>
      </c>
      <c r="B40" s="102">
        <f ca="1">OFFSET(QCEW!M35,0,$E$38)</f>
        <v>2.9988465974625143E-2</v>
      </c>
      <c r="E40" s="92" t="s">
        <v>62</v>
      </c>
      <c r="F40" s="92"/>
      <c r="O40" s="392" t="s">
        <v>299</v>
      </c>
      <c r="P40" s="393"/>
      <c r="Q40" s="393"/>
      <c r="R40" s="394"/>
      <c r="U40" s="7" t="s">
        <v>613</v>
      </c>
      <c r="AN40" s="142" t="s">
        <v>533</v>
      </c>
      <c r="AO40" s="7" t="s">
        <v>264</v>
      </c>
      <c r="AP40" s="7" t="s">
        <v>537</v>
      </c>
      <c r="AQ40" s="7" t="s">
        <v>539</v>
      </c>
      <c r="AR40" s="7" t="s">
        <v>28</v>
      </c>
      <c r="AS40">
        <v>300</v>
      </c>
      <c r="AT40">
        <v>4896</v>
      </c>
      <c r="AU40">
        <v>803</v>
      </c>
      <c r="AV40"/>
      <c r="AW40" s="344" t="s">
        <v>539</v>
      </c>
      <c r="AX40" s="142" t="b">
        <f t="shared" si="0"/>
        <v>1</v>
      </c>
    </row>
    <row r="41" spans="1:50" ht="12.75" customHeight="1">
      <c r="A41" s="101" t="s">
        <v>170</v>
      </c>
      <c r="B41" s="102">
        <f ca="1">OFFSET(QCEW!M36,0,$E$38)</f>
        <v>8.8126711920924142E-3</v>
      </c>
      <c r="C41" s="15"/>
      <c r="E41" s="92" t="s">
        <v>94</v>
      </c>
      <c r="F41" s="92"/>
      <c r="O41" s="395" t="s">
        <v>294</v>
      </c>
      <c r="P41" s="396"/>
      <c r="Q41" s="396"/>
      <c r="R41" s="397"/>
      <c r="AN41" s="142" t="s">
        <v>533</v>
      </c>
      <c r="AO41" s="7" t="s">
        <v>264</v>
      </c>
      <c r="AP41" s="7" t="s">
        <v>537</v>
      </c>
      <c r="AQ41" s="7" t="s">
        <v>540</v>
      </c>
      <c r="AR41" s="7" t="s">
        <v>29</v>
      </c>
      <c r="AS41">
        <v>35</v>
      </c>
      <c r="AT41">
        <v>365</v>
      </c>
      <c r="AU41">
        <v>866</v>
      </c>
      <c r="AV41"/>
      <c r="AW41" s="344" t="s">
        <v>540</v>
      </c>
      <c r="AX41" s="142" t="b">
        <f t="shared" si="0"/>
        <v>1</v>
      </c>
    </row>
    <row r="42" spans="1:50" ht="12.75" customHeight="1">
      <c r="A42" s="101" t="s">
        <v>176</v>
      </c>
      <c r="B42" s="102">
        <f ca="1">OFFSET(QCEW!M37,0,$E$38)</f>
        <v>2.414113277623027E-2</v>
      </c>
      <c r="C42" s="15"/>
      <c r="E42" s="92" t="s">
        <v>95</v>
      </c>
      <c r="F42" s="92"/>
      <c r="O42" s="103" t="s">
        <v>233</v>
      </c>
      <c r="P42" s="7" t="s">
        <v>20</v>
      </c>
      <c r="Q42" s="7">
        <v>101780</v>
      </c>
      <c r="R42" s="17">
        <v>1667</v>
      </c>
      <c r="S42" s="201" t="s">
        <v>300</v>
      </c>
      <c r="AN42" s="142" t="s">
        <v>533</v>
      </c>
      <c r="AO42" s="7" t="s">
        <v>264</v>
      </c>
      <c r="AP42" s="7" t="s">
        <v>537</v>
      </c>
      <c r="AQ42" s="7" t="s">
        <v>272</v>
      </c>
      <c r="AR42" s="7" t="s">
        <v>30</v>
      </c>
      <c r="AS42">
        <v>25</v>
      </c>
      <c r="AT42">
        <v>224</v>
      </c>
      <c r="AU42">
        <v>1052</v>
      </c>
      <c r="AV42"/>
      <c r="AW42" s="344" t="s">
        <v>272</v>
      </c>
      <c r="AX42" s="142" t="b">
        <f t="shared" si="0"/>
        <v>1</v>
      </c>
    </row>
    <row r="43" spans="1:50" ht="12.75" customHeight="1">
      <c r="C43" s="15"/>
      <c r="E43" s="92" t="s">
        <v>96</v>
      </c>
      <c r="F43" s="92"/>
      <c r="O43" s="103" t="s">
        <v>233</v>
      </c>
      <c r="P43" s="7" t="s">
        <v>25</v>
      </c>
      <c r="Q43" s="7">
        <v>485325</v>
      </c>
      <c r="R43" s="17">
        <v>1475</v>
      </c>
      <c r="U43" s="7" t="s">
        <v>614</v>
      </c>
      <c r="AN43" s="142" t="s">
        <v>533</v>
      </c>
      <c r="AO43" s="7" t="s">
        <v>264</v>
      </c>
      <c r="AP43" s="7" t="s">
        <v>537</v>
      </c>
      <c r="AQ43" s="7" t="s">
        <v>273</v>
      </c>
      <c r="AR43" s="7" t="s">
        <v>31</v>
      </c>
      <c r="AS43">
        <v>74</v>
      </c>
      <c r="AT43">
        <v>438</v>
      </c>
      <c r="AU43">
        <v>1985</v>
      </c>
      <c r="AV43"/>
      <c r="AW43" s="344" t="s">
        <v>273</v>
      </c>
      <c r="AX43" s="142" t="b">
        <f t="shared" si="0"/>
        <v>1</v>
      </c>
    </row>
    <row r="44" spans="1:50" ht="12.75" customHeight="1">
      <c r="A44" s="100" t="s">
        <v>616</v>
      </c>
      <c r="E44" s="92" t="s">
        <v>123</v>
      </c>
      <c r="F44" s="92"/>
      <c r="O44" s="103" t="s">
        <v>233</v>
      </c>
      <c r="P44" s="7" t="s">
        <v>44</v>
      </c>
      <c r="Q44" s="7">
        <v>84033</v>
      </c>
      <c r="R44" s="17">
        <v>1136</v>
      </c>
      <c r="AN44" s="142" t="s">
        <v>533</v>
      </c>
      <c r="AO44" s="7" t="s">
        <v>264</v>
      </c>
      <c r="AP44" s="7" t="s">
        <v>537</v>
      </c>
      <c r="AQ44" s="7" t="s">
        <v>274</v>
      </c>
      <c r="AR44" s="7" t="s">
        <v>32</v>
      </c>
      <c r="AS44">
        <v>67</v>
      </c>
      <c r="AT44">
        <v>231</v>
      </c>
      <c r="AU44">
        <v>1487</v>
      </c>
      <c r="AV44"/>
      <c r="AW44" s="344" t="s">
        <v>274</v>
      </c>
      <c r="AX44" s="142" t="b">
        <f t="shared" si="0"/>
        <v>1</v>
      </c>
    </row>
    <row r="45" spans="1:50" ht="12.75" customHeight="1">
      <c r="A45" s="101" t="s">
        <v>171</v>
      </c>
      <c r="B45" s="102">
        <f ca="1">OFFSET(QCEW!Y35,0,$E$38)</f>
        <v>4.2682926829268296E-2</v>
      </c>
      <c r="E45" s="92" t="s">
        <v>97</v>
      </c>
      <c r="F45" s="92"/>
      <c r="N45" s="7" t="s">
        <v>52</v>
      </c>
      <c r="O45" s="16" t="s">
        <v>264</v>
      </c>
      <c r="P45" s="7" t="s">
        <v>20</v>
      </c>
      <c r="Q45" s="7">
        <v>3468</v>
      </c>
      <c r="R45" s="17">
        <v>1312</v>
      </c>
      <c r="S45" s="201" t="s">
        <v>301</v>
      </c>
      <c r="AN45" s="142" t="s">
        <v>533</v>
      </c>
      <c r="AO45" s="7" t="s">
        <v>264</v>
      </c>
      <c r="AP45" s="7" t="s">
        <v>537</v>
      </c>
      <c r="AQ45" s="7" t="s">
        <v>275</v>
      </c>
      <c r="AR45" s="7" t="s">
        <v>33</v>
      </c>
      <c r="AS45">
        <v>149</v>
      </c>
      <c r="AT45">
        <v>662</v>
      </c>
      <c r="AU45">
        <v>1486</v>
      </c>
      <c r="AV45"/>
      <c r="AW45" s="344" t="s">
        <v>275</v>
      </c>
      <c r="AX45" s="142" t="b">
        <f t="shared" si="0"/>
        <v>1</v>
      </c>
    </row>
    <row r="46" spans="1:50" ht="12.75" customHeight="1">
      <c r="A46" s="101" t="s">
        <v>170</v>
      </c>
      <c r="B46" s="102">
        <f ca="1">OFFSET(QCEW!Y36,0,$E$38)</f>
        <v>4.3298969072164947E-2</v>
      </c>
      <c r="E46" s="92" t="s">
        <v>98</v>
      </c>
      <c r="F46" s="92"/>
      <c r="O46" s="16" t="s">
        <v>264</v>
      </c>
      <c r="P46" s="7" t="s">
        <v>25</v>
      </c>
      <c r="Q46" s="7">
        <v>16794</v>
      </c>
      <c r="R46" s="17">
        <v>970</v>
      </c>
      <c r="AN46" s="142" t="s">
        <v>533</v>
      </c>
      <c r="AO46" s="7" t="s">
        <v>264</v>
      </c>
      <c r="AP46" s="7" t="s">
        <v>537</v>
      </c>
      <c r="AQ46" s="7" t="s">
        <v>276</v>
      </c>
      <c r="AR46" s="7" t="s">
        <v>34</v>
      </c>
      <c r="AS46">
        <v>23</v>
      </c>
      <c r="AT46">
        <v>507</v>
      </c>
      <c r="AU46">
        <v>2372</v>
      </c>
      <c r="AV46"/>
      <c r="AW46" s="344" t="s">
        <v>276</v>
      </c>
      <c r="AX46" s="142" t="b">
        <f t="shared" si="0"/>
        <v>1</v>
      </c>
    </row>
    <row r="47" spans="1:50" ht="12.75" customHeight="1">
      <c r="A47" s="101" t="s">
        <v>176</v>
      </c>
      <c r="B47" s="102">
        <f ca="1">OFFSET(QCEW!Y37,0,$E$38)</f>
        <v>4.4662309368191724E-2</v>
      </c>
      <c r="E47" s="92" t="s">
        <v>99</v>
      </c>
      <c r="F47" s="92"/>
      <c r="O47" s="16" t="s">
        <v>264</v>
      </c>
      <c r="P47" s="7" t="s">
        <v>44</v>
      </c>
      <c r="Q47" s="7">
        <v>4308</v>
      </c>
      <c r="R47" s="17">
        <v>918</v>
      </c>
      <c r="U47" s="7" t="s">
        <v>617</v>
      </c>
      <c r="AN47" s="142" t="s">
        <v>533</v>
      </c>
      <c r="AO47" s="7" t="s">
        <v>264</v>
      </c>
      <c r="AP47" s="7" t="s">
        <v>537</v>
      </c>
      <c r="AQ47" s="7" t="s">
        <v>277</v>
      </c>
      <c r="AR47" s="7" t="s">
        <v>35</v>
      </c>
      <c r="AS47">
        <v>128</v>
      </c>
      <c r="AT47">
        <v>984</v>
      </c>
      <c r="AU47">
        <v>954</v>
      </c>
      <c r="AV47"/>
      <c r="AW47" s="344" t="s">
        <v>277</v>
      </c>
      <c r="AX47" s="142" t="b">
        <f t="shared" si="0"/>
        <v>1</v>
      </c>
    </row>
    <row r="48" spans="1:50" ht="12.75" customHeight="1">
      <c r="E48" s="92" t="s">
        <v>100</v>
      </c>
      <c r="F48" s="92"/>
      <c r="N48" s="7" t="s">
        <v>53</v>
      </c>
      <c r="O48" s="16" t="s">
        <v>284</v>
      </c>
      <c r="P48" s="7" t="s">
        <v>20</v>
      </c>
      <c r="Q48" s="7">
        <v>2067</v>
      </c>
      <c r="R48" s="17">
        <v>1032</v>
      </c>
      <c r="AN48" s="142" t="s">
        <v>533</v>
      </c>
      <c r="AO48" s="7" t="s">
        <v>264</v>
      </c>
      <c r="AP48" s="7" t="s">
        <v>537</v>
      </c>
      <c r="AQ48" s="7" t="s">
        <v>278</v>
      </c>
      <c r="AR48" s="7" t="s">
        <v>36</v>
      </c>
      <c r="AS48">
        <v>19</v>
      </c>
      <c r="AT48">
        <v>299</v>
      </c>
      <c r="AU48">
        <v>1070</v>
      </c>
      <c r="AV48"/>
      <c r="AW48" s="344" t="s">
        <v>278</v>
      </c>
      <c r="AX48" s="142" t="b">
        <f t="shared" si="0"/>
        <v>1</v>
      </c>
    </row>
    <row r="49" spans="1:50" ht="12.75" customHeight="1">
      <c r="E49" s="92" t="s">
        <v>101</v>
      </c>
      <c r="F49" s="92"/>
      <c r="O49" s="16" t="s">
        <v>284</v>
      </c>
      <c r="P49" s="7" t="s">
        <v>25</v>
      </c>
      <c r="Q49" s="7">
        <v>13789</v>
      </c>
      <c r="R49" s="17">
        <v>889</v>
      </c>
      <c r="AN49" s="142" t="s">
        <v>533</v>
      </c>
      <c r="AO49" s="7" t="s">
        <v>264</v>
      </c>
      <c r="AP49" s="7" t="s">
        <v>537</v>
      </c>
      <c r="AQ49" s="7" t="s">
        <v>279</v>
      </c>
      <c r="AR49" s="7" t="s">
        <v>37</v>
      </c>
      <c r="AS49">
        <v>155</v>
      </c>
      <c r="AT49">
        <v>3281</v>
      </c>
      <c r="AU49">
        <v>1194</v>
      </c>
      <c r="AV49"/>
      <c r="AW49" s="344" t="s">
        <v>279</v>
      </c>
      <c r="AX49" s="142" t="b">
        <f t="shared" si="0"/>
        <v>1</v>
      </c>
    </row>
    <row r="50" spans="1:50" ht="12.75" customHeight="1">
      <c r="E50" s="92" t="s">
        <v>102</v>
      </c>
      <c r="F50" s="92"/>
      <c r="O50" s="16" t="s">
        <v>284</v>
      </c>
      <c r="P50" s="7" t="s">
        <v>44</v>
      </c>
      <c r="Q50" s="7">
        <v>2961</v>
      </c>
      <c r="R50" s="17">
        <v>932</v>
      </c>
      <c r="AN50" s="142" t="s">
        <v>533</v>
      </c>
      <c r="AO50" s="7" t="s">
        <v>264</v>
      </c>
      <c r="AP50" s="7" t="s">
        <v>537</v>
      </c>
      <c r="AQ50" s="7" t="s">
        <v>280</v>
      </c>
      <c r="AR50" s="7" t="s">
        <v>38</v>
      </c>
      <c r="AS50">
        <v>47</v>
      </c>
      <c r="AT50">
        <v>577</v>
      </c>
      <c r="AU50">
        <v>614</v>
      </c>
      <c r="AV50"/>
      <c r="AW50" s="344" t="s">
        <v>280</v>
      </c>
      <c r="AX50" s="142" t="b">
        <f t="shared" si="0"/>
        <v>1</v>
      </c>
    </row>
    <row r="51" spans="1:50" ht="12.75" customHeight="1">
      <c r="A51" s="100"/>
      <c r="N51" s="7" t="s">
        <v>589</v>
      </c>
      <c r="O51" s="16" t="s">
        <v>285</v>
      </c>
      <c r="P51" s="7" t="s">
        <v>20</v>
      </c>
      <c r="Q51" s="7">
        <v>7099</v>
      </c>
      <c r="R51" s="17">
        <v>1444</v>
      </c>
      <c r="AN51" s="142" t="s">
        <v>533</v>
      </c>
      <c r="AO51" s="7" t="s">
        <v>264</v>
      </c>
      <c r="AP51" s="7" t="s">
        <v>537</v>
      </c>
      <c r="AQ51" s="7" t="s">
        <v>281</v>
      </c>
      <c r="AR51" s="7" t="s">
        <v>39</v>
      </c>
      <c r="AS51">
        <v>216</v>
      </c>
      <c r="AT51">
        <v>2905</v>
      </c>
      <c r="AU51">
        <v>572</v>
      </c>
      <c r="AV51"/>
      <c r="AW51" s="344" t="s">
        <v>281</v>
      </c>
      <c r="AX51" s="142" t="b">
        <f t="shared" si="0"/>
        <v>1</v>
      </c>
    </row>
    <row r="52" spans="1:50" ht="12.75" customHeight="1">
      <c r="A52" s="100"/>
      <c r="O52" s="16" t="s">
        <v>285</v>
      </c>
      <c r="P52" s="7" t="s">
        <v>25</v>
      </c>
      <c r="Q52" s="7">
        <v>19446</v>
      </c>
      <c r="R52" s="17">
        <v>1014</v>
      </c>
      <c r="AN52" s="142" t="s">
        <v>533</v>
      </c>
      <c r="AO52" s="7" t="s">
        <v>264</v>
      </c>
      <c r="AP52" s="7" t="s">
        <v>537</v>
      </c>
      <c r="AQ52" s="7" t="s">
        <v>282</v>
      </c>
      <c r="AR52" s="7" t="s">
        <v>40</v>
      </c>
      <c r="AS52">
        <v>186</v>
      </c>
      <c r="AT52">
        <v>852</v>
      </c>
      <c r="AU52">
        <v>876</v>
      </c>
      <c r="AV52"/>
      <c r="AW52" s="344" t="s">
        <v>282</v>
      </c>
      <c r="AX52" s="142" t="b">
        <f t="shared" si="0"/>
        <v>1</v>
      </c>
    </row>
    <row r="53" spans="1:50" ht="12.75" customHeight="1">
      <c r="O53" s="16" t="s">
        <v>285</v>
      </c>
      <c r="P53" s="7" t="s">
        <v>44</v>
      </c>
      <c r="Q53" s="7">
        <v>4491</v>
      </c>
      <c r="R53" s="17">
        <v>956</v>
      </c>
      <c r="AN53" s="142" t="s">
        <v>533</v>
      </c>
      <c r="AO53" s="7" t="s">
        <v>264</v>
      </c>
      <c r="AP53" s="7" t="s">
        <v>537</v>
      </c>
      <c r="AQ53" s="7" t="s">
        <v>283</v>
      </c>
      <c r="AR53" s="7" t="s">
        <v>41</v>
      </c>
      <c r="AS53">
        <v>10</v>
      </c>
      <c r="AT53">
        <v>25</v>
      </c>
      <c r="AU53">
        <v>646</v>
      </c>
      <c r="AV53"/>
      <c r="AW53" s="344" t="s">
        <v>283</v>
      </c>
      <c r="AX53" s="142" t="b">
        <f t="shared" si="0"/>
        <v>1</v>
      </c>
    </row>
    <row r="54" spans="1:50" ht="12.75" customHeight="1">
      <c r="N54" s="7" t="s">
        <v>55</v>
      </c>
      <c r="O54" s="16" t="s">
        <v>286</v>
      </c>
      <c r="P54" s="7" t="s">
        <v>20</v>
      </c>
      <c r="Q54" s="7">
        <v>1299</v>
      </c>
      <c r="R54" s="17">
        <v>1317</v>
      </c>
      <c r="AN54" s="142" t="s">
        <v>533</v>
      </c>
      <c r="AO54" s="7" t="s">
        <v>264</v>
      </c>
      <c r="AP54" s="7" t="s">
        <v>541</v>
      </c>
      <c r="AQ54" s="86" t="s">
        <v>536</v>
      </c>
      <c r="AR54" s="7" t="s">
        <v>44</v>
      </c>
      <c r="AS54">
        <v>105</v>
      </c>
      <c r="AT54">
        <v>4412</v>
      </c>
      <c r="AU54">
        <v>959</v>
      </c>
      <c r="AV54"/>
      <c r="AW54" s="344" t="s">
        <v>536</v>
      </c>
      <c r="AX54" s="142" t="b">
        <f t="shared" si="0"/>
        <v>1</v>
      </c>
    </row>
    <row r="55" spans="1:50" ht="12.75" customHeight="1">
      <c r="O55" s="16" t="s">
        <v>286</v>
      </c>
      <c r="P55" s="7" t="s">
        <v>25</v>
      </c>
      <c r="Q55" s="7">
        <v>7589</v>
      </c>
      <c r="R55" s="17">
        <v>939</v>
      </c>
      <c r="AN55" s="142" t="s">
        <v>533</v>
      </c>
      <c r="AO55" s="7" t="s">
        <v>264</v>
      </c>
      <c r="AP55" s="7" t="s">
        <v>542</v>
      </c>
      <c r="AQ55" s="86" t="s">
        <v>536</v>
      </c>
      <c r="AR55" s="7" t="s">
        <v>45</v>
      </c>
      <c r="AS55">
        <v>21</v>
      </c>
      <c r="AT55">
        <v>132</v>
      </c>
      <c r="AU55">
        <v>1484</v>
      </c>
      <c r="AV55"/>
      <c r="AW55" s="344" t="s">
        <v>536</v>
      </c>
      <c r="AX55" s="142" t="b">
        <f t="shared" si="0"/>
        <v>1</v>
      </c>
    </row>
    <row r="56" spans="1:50" ht="12.75" customHeight="1">
      <c r="O56" s="16" t="s">
        <v>286</v>
      </c>
      <c r="P56" s="7" t="s">
        <v>44</v>
      </c>
      <c r="Q56" s="7">
        <v>2601</v>
      </c>
      <c r="R56" s="17">
        <v>954</v>
      </c>
      <c r="AN56" s="142" t="s">
        <v>533</v>
      </c>
      <c r="AO56" s="7" t="s">
        <v>264</v>
      </c>
      <c r="AP56" s="7" t="s">
        <v>543</v>
      </c>
      <c r="AQ56" s="86" t="s">
        <v>536</v>
      </c>
      <c r="AR56" s="7" t="s">
        <v>46</v>
      </c>
      <c r="AS56">
        <v>42</v>
      </c>
      <c r="AT56">
        <v>758</v>
      </c>
      <c r="AU56">
        <v>1018</v>
      </c>
      <c r="AV56"/>
      <c r="AW56" s="344" t="s">
        <v>536</v>
      </c>
      <c r="AX56" s="142" t="b">
        <f t="shared" si="0"/>
        <v>1</v>
      </c>
    </row>
    <row r="57" spans="1:50" ht="12.75" customHeight="1">
      <c r="N57" s="7" t="s">
        <v>56</v>
      </c>
      <c r="O57" s="16" t="s">
        <v>287</v>
      </c>
      <c r="P57" s="7" t="s">
        <v>20</v>
      </c>
      <c r="Q57" s="7">
        <v>6663</v>
      </c>
      <c r="R57" s="17">
        <v>1297</v>
      </c>
      <c r="AN57" s="142" t="s">
        <v>533</v>
      </c>
      <c r="AO57" s="7" t="s">
        <v>264</v>
      </c>
      <c r="AP57" s="7" t="s">
        <v>544</v>
      </c>
      <c r="AQ57" s="86" t="s">
        <v>536</v>
      </c>
      <c r="AR57" s="7" t="s">
        <v>47</v>
      </c>
      <c r="AS57">
        <v>42</v>
      </c>
      <c r="AT57">
        <v>3521</v>
      </c>
      <c r="AU57">
        <v>926</v>
      </c>
      <c r="AV57"/>
      <c r="AW57" s="344" t="s">
        <v>536</v>
      </c>
      <c r="AX57" s="142" t="b">
        <f t="shared" si="0"/>
        <v>1</v>
      </c>
    </row>
    <row r="58" spans="1:50" ht="12.75" customHeight="1">
      <c r="O58" s="16" t="s">
        <v>287</v>
      </c>
      <c r="P58" s="7" t="s">
        <v>25</v>
      </c>
      <c r="Q58" s="7">
        <v>40480</v>
      </c>
      <c r="R58" s="17">
        <v>1390</v>
      </c>
      <c r="AN58" s="142" t="s">
        <v>95</v>
      </c>
      <c r="AO58" s="7" t="s">
        <v>284</v>
      </c>
      <c r="AP58" s="7" t="s">
        <v>535</v>
      </c>
      <c r="AQ58" s="86" t="s">
        <v>536</v>
      </c>
      <c r="AR58" s="7" t="s">
        <v>42</v>
      </c>
      <c r="AS58">
        <v>1889</v>
      </c>
      <c r="AT58">
        <v>18922</v>
      </c>
      <c r="AU58">
        <v>948</v>
      </c>
      <c r="AV58"/>
      <c r="AW58" s="344" t="s">
        <v>536</v>
      </c>
      <c r="AX58" s="142" t="b">
        <f t="shared" si="0"/>
        <v>1</v>
      </c>
    </row>
    <row r="59" spans="1:50" ht="12.75" customHeight="1">
      <c r="O59" s="16" t="s">
        <v>287</v>
      </c>
      <c r="P59" s="7" t="s">
        <v>44</v>
      </c>
      <c r="Q59" s="7">
        <v>6411</v>
      </c>
      <c r="R59" s="17">
        <v>1006</v>
      </c>
      <c r="AN59" s="142" t="s">
        <v>533</v>
      </c>
      <c r="AO59" s="7" t="s">
        <v>284</v>
      </c>
      <c r="AP59" s="7" t="s">
        <v>537</v>
      </c>
      <c r="AQ59" s="86" t="s">
        <v>536</v>
      </c>
      <c r="AR59" s="7" t="s">
        <v>43</v>
      </c>
      <c r="AS59">
        <v>1772</v>
      </c>
      <c r="AT59">
        <v>15895</v>
      </c>
      <c r="AU59">
        <v>951</v>
      </c>
      <c r="AV59"/>
      <c r="AW59" s="344" t="s">
        <v>536</v>
      </c>
      <c r="AX59" s="142" t="b">
        <f t="shared" si="0"/>
        <v>1</v>
      </c>
    </row>
    <row r="60" spans="1:50" ht="12.75" customHeight="1">
      <c r="N60" s="7" t="s">
        <v>57</v>
      </c>
      <c r="O60" s="16" t="s">
        <v>288</v>
      </c>
      <c r="P60" s="7" t="s">
        <v>20</v>
      </c>
      <c r="Q60" s="7">
        <v>34515</v>
      </c>
      <c r="R60" s="17">
        <v>2008</v>
      </c>
      <c r="AN60" s="142" t="s">
        <v>533</v>
      </c>
      <c r="AO60" s="7" t="s">
        <v>284</v>
      </c>
      <c r="AP60" s="7" t="s">
        <v>537</v>
      </c>
      <c r="AQ60" s="7" t="s">
        <v>265</v>
      </c>
      <c r="AR60" s="7" t="s">
        <v>20</v>
      </c>
      <c r="AS60">
        <v>335</v>
      </c>
      <c r="AT60">
        <v>2085</v>
      </c>
      <c r="AU60">
        <v>1079</v>
      </c>
      <c r="AV60"/>
      <c r="AW60" s="344" t="s">
        <v>265</v>
      </c>
      <c r="AX60" s="142" t="b">
        <f t="shared" si="0"/>
        <v>1</v>
      </c>
    </row>
    <row r="61" spans="1:50" ht="12.75" customHeight="1">
      <c r="O61" s="16" t="s">
        <v>288</v>
      </c>
      <c r="P61" s="7" t="s">
        <v>25</v>
      </c>
      <c r="Q61" s="7">
        <v>144400</v>
      </c>
      <c r="R61" s="17">
        <v>1421</v>
      </c>
      <c r="AN61" s="142" t="s">
        <v>533</v>
      </c>
      <c r="AO61" s="7" t="s">
        <v>284</v>
      </c>
      <c r="AP61" s="7" t="s">
        <v>537</v>
      </c>
      <c r="AQ61" s="7" t="s">
        <v>266</v>
      </c>
      <c r="AR61" s="7" t="s">
        <v>21</v>
      </c>
      <c r="AS61" t="s">
        <v>586</v>
      </c>
      <c r="AT61" t="s">
        <v>586</v>
      </c>
      <c r="AU61" t="s">
        <v>586</v>
      </c>
      <c r="AV61" s="339"/>
      <c r="AW61" s="344" t="s">
        <v>266</v>
      </c>
      <c r="AX61" s="142" t="b">
        <f t="shared" si="0"/>
        <v>1</v>
      </c>
    </row>
    <row r="62" spans="1:50" ht="12.75" customHeight="1">
      <c r="O62" s="16" t="s">
        <v>288</v>
      </c>
      <c r="P62" s="7" t="s">
        <v>44</v>
      </c>
      <c r="Q62" s="7">
        <v>21346</v>
      </c>
      <c r="R62" s="17">
        <v>1296</v>
      </c>
      <c r="AN62" s="142" t="s">
        <v>533</v>
      </c>
      <c r="AO62" s="7" t="s">
        <v>284</v>
      </c>
      <c r="AP62" s="7" t="s">
        <v>537</v>
      </c>
      <c r="AQ62" s="7" t="s">
        <v>267</v>
      </c>
      <c r="AR62" s="7" t="s">
        <v>22</v>
      </c>
      <c r="AS62" t="s">
        <v>586</v>
      </c>
      <c r="AT62" t="s">
        <v>586</v>
      </c>
      <c r="AU62" t="s">
        <v>586</v>
      </c>
      <c r="AV62" s="339"/>
      <c r="AW62" s="344" t="s">
        <v>267</v>
      </c>
      <c r="AX62" s="142" t="b">
        <f t="shared" si="0"/>
        <v>1</v>
      </c>
    </row>
    <row r="63" spans="1:50" ht="12.75" customHeight="1">
      <c r="N63" s="7" t="s">
        <v>58</v>
      </c>
      <c r="O63" s="16" t="s">
        <v>289</v>
      </c>
      <c r="P63" s="7" t="s">
        <v>20</v>
      </c>
      <c r="Q63" s="7">
        <v>9980</v>
      </c>
      <c r="R63" s="17">
        <v>1360</v>
      </c>
      <c r="AN63" s="142" t="s">
        <v>533</v>
      </c>
      <c r="AO63" s="7" t="s">
        <v>284</v>
      </c>
      <c r="AP63" s="7" t="s">
        <v>537</v>
      </c>
      <c r="AQ63" s="7" t="s">
        <v>268</v>
      </c>
      <c r="AR63" s="7" t="s">
        <v>23</v>
      </c>
      <c r="AS63">
        <v>246</v>
      </c>
      <c r="AT63">
        <v>1159</v>
      </c>
      <c r="AU63">
        <v>1166</v>
      </c>
      <c r="AV63"/>
      <c r="AW63" s="344" t="s">
        <v>268</v>
      </c>
      <c r="AX63" s="142" t="b">
        <f t="shared" si="0"/>
        <v>1</v>
      </c>
    </row>
    <row r="64" spans="1:50" ht="12.75" customHeight="1">
      <c r="O64" s="16" t="s">
        <v>289</v>
      </c>
      <c r="P64" s="7" t="s">
        <v>25</v>
      </c>
      <c r="Q64" s="7">
        <v>50123</v>
      </c>
      <c r="R64" s="17">
        <v>1233</v>
      </c>
      <c r="AN64" s="142" t="s">
        <v>533</v>
      </c>
      <c r="AO64" s="7" t="s">
        <v>284</v>
      </c>
      <c r="AP64" s="7" t="s">
        <v>537</v>
      </c>
      <c r="AQ64" s="7" t="s">
        <v>538</v>
      </c>
      <c r="AR64" s="7" t="s">
        <v>24</v>
      </c>
      <c r="AS64">
        <v>69</v>
      </c>
      <c r="AT64">
        <v>848</v>
      </c>
      <c r="AU64">
        <v>979</v>
      </c>
      <c r="AV64"/>
      <c r="AW64" s="344" t="s">
        <v>538</v>
      </c>
      <c r="AX64" s="142" t="b">
        <f t="shared" si="0"/>
        <v>1</v>
      </c>
    </row>
    <row r="65" spans="14:50" ht="12.75" customHeight="1">
      <c r="O65" s="16" t="s">
        <v>289</v>
      </c>
      <c r="P65" s="7" t="s">
        <v>44</v>
      </c>
      <c r="Q65" s="7">
        <v>15977</v>
      </c>
      <c r="R65" s="17">
        <v>1128</v>
      </c>
      <c r="AN65" s="142" t="s">
        <v>533</v>
      </c>
      <c r="AO65" s="7" t="s">
        <v>284</v>
      </c>
      <c r="AP65" s="7" t="s">
        <v>537</v>
      </c>
      <c r="AQ65" s="7" t="s">
        <v>269</v>
      </c>
      <c r="AR65" s="7" t="s">
        <v>25</v>
      </c>
      <c r="AS65">
        <v>1437</v>
      </c>
      <c r="AT65">
        <v>13810</v>
      </c>
      <c r="AU65">
        <v>932</v>
      </c>
      <c r="AV65"/>
      <c r="AW65" s="344" t="s">
        <v>269</v>
      </c>
      <c r="AX65" s="142" t="b">
        <f t="shared" si="0"/>
        <v>1</v>
      </c>
    </row>
    <row r="66" spans="14:50" ht="12.75" customHeight="1">
      <c r="N66" s="7" t="s">
        <v>59</v>
      </c>
      <c r="O66" s="16" t="s">
        <v>290</v>
      </c>
      <c r="P66" s="7" t="s">
        <v>20</v>
      </c>
      <c r="Q66" s="7">
        <v>24333</v>
      </c>
      <c r="R66" s="17">
        <v>1680</v>
      </c>
      <c r="AN66" s="142" t="s">
        <v>533</v>
      </c>
      <c r="AO66" s="7" t="s">
        <v>284</v>
      </c>
      <c r="AP66" s="7" t="s">
        <v>537</v>
      </c>
      <c r="AQ66" s="7" t="s">
        <v>270</v>
      </c>
      <c r="AR66" s="7" t="s">
        <v>26</v>
      </c>
      <c r="AS66">
        <v>7</v>
      </c>
      <c r="AT66">
        <v>48</v>
      </c>
      <c r="AU66">
        <v>2342</v>
      </c>
      <c r="AV66"/>
      <c r="AW66" s="344" t="s">
        <v>270</v>
      </c>
      <c r="AX66" s="142" t="b">
        <f t="shared" si="0"/>
        <v>1</v>
      </c>
    </row>
    <row r="67" spans="14:50" ht="12.75" customHeight="1">
      <c r="O67" s="16" t="s">
        <v>290</v>
      </c>
      <c r="P67" s="7" t="s">
        <v>25</v>
      </c>
      <c r="Q67" s="7">
        <v>111491</v>
      </c>
      <c r="R67" s="17">
        <v>1399</v>
      </c>
      <c r="AN67" s="142" t="s">
        <v>533</v>
      </c>
      <c r="AO67" s="7" t="s">
        <v>284</v>
      </c>
      <c r="AP67" s="7" t="s">
        <v>537</v>
      </c>
      <c r="AQ67" s="7" t="s">
        <v>271</v>
      </c>
      <c r="AR67" s="7" t="s">
        <v>27</v>
      </c>
      <c r="AS67">
        <v>47</v>
      </c>
      <c r="AT67">
        <v>258</v>
      </c>
      <c r="AU67">
        <v>1871</v>
      </c>
      <c r="AV67"/>
      <c r="AW67" s="344" t="s">
        <v>271</v>
      </c>
      <c r="AX67" s="142" t="b">
        <f t="shared" ref="AX67:AX130" si="40">AQ67=AW67</f>
        <v>1</v>
      </c>
    </row>
    <row r="68" spans="14:50" ht="12.75" customHeight="1">
      <c r="O68" s="16" t="s">
        <v>290</v>
      </c>
      <c r="P68" s="7" t="s">
        <v>44</v>
      </c>
      <c r="Q68" s="7">
        <v>14630</v>
      </c>
      <c r="R68" s="17">
        <v>1140</v>
      </c>
      <c r="AN68" s="142" t="s">
        <v>533</v>
      </c>
      <c r="AO68" s="7" t="s">
        <v>284</v>
      </c>
      <c r="AP68" s="7" t="s">
        <v>537</v>
      </c>
      <c r="AQ68" s="7" t="s">
        <v>539</v>
      </c>
      <c r="AR68" s="7" t="s">
        <v>28</v>
      </c>
      <c r="AS68">
        <v>301</v>
      </c>
      <c r="AT68">
        <v>3252</v>
      </c>
      <c r="AU68">
        <v>736</v>
      </c>
      <c r="AV68"/>
      <c r="AW68" s="344" t="s">
        <v>539</v>
      </c>
      <c r="AX68" s="142" t="b">
        <f t="shared" si="40"/>
        <v>1</v>
      </c>
    </row>
    <row r="69" spans="14:50" ht="12.75" customHeight="1">
      <c r="N69" s="7" t="s">
        <v>60</v>
      </c>
      <c r="O69" s="16" t="s">
        <v>291</v>
      </c>
      <c r="P69" s="7" t="s">
        <v>20</v>
      </c>
      <c r="Q69" s="7">
        <v>6970</v>
      </c>
      <c r="R69" s="17">
        <v>1434</v>
      </c>
      <c r="AN69" s="142" t="s">
        <v>533</v>
      </c>
      <c r="AO69" s="7" t="s">
        <v>284</v>
      </c>
      <c r="AP69" s="7" t="s">
        <v>537</v>
      </c>
      <c r="AQ69" s="7" t="s">
        <v>540</v>
      </c>
      <c r="AR69" s="7" t="s">
        <v>29</v>
      </c>
      <c r="AS69">
        <v>26</v>
      </c>
      <c r="AT69">
        <v>241</v>
      </c>
      <c r="AU69">
        <v>647</v>
      </c>
      <c r="AV69"/>
      <c r="AW69" s="344" t="s">
        <v>540</v>
      </c>
      <c r="AX69" s="142" t="b">
        <f t="shared" si="40"/>
        <v>1</v>
      </c>
    </row>
    <row r="70" spans="14:50" ht="12.75" customHeight="1">
      <c r="O70" s="16" t="s">
        <v>291</v>
      </c>
      <c r="P70" s="7" t="s">
        <v>25</v>
      </c>
      <c r="Q70" s="7">
        <v>31207</v>
      </c>
      <c r="R70" s="17">
        <v>1301</v>
      </c>
      <c r="AN70" s="142" t="s">
        <v>533</v>
      </c>
      <c r="AO70" s="7" t="s">
        <v>284</v>
      </c>
      <c r="AP70" s="7" t="s">
        <v>537</v>
      </c>
      <c r="AQ70" s="7" t="s">
        <v>272</v>
      </c>
      <c r="AR70" s="7" t="s">
        <v>30</v>
      </c>
      <c r="AS70">
        <v>30</v>
      </c>
      <c r="AT70">
        <v>157</v>
      </c>
      <c r="AU70">
        <v>1424</v>
      </c>
      <c r="AV70"/>
      <c r="AW70" s="344" t="s">
        <v>272</v>
      </c>
      <c r="AX70" s="142" t="b">
        <f t="shared" si="40"/>
        <v>1</v>
      </c>
    </row>
    <row r="71" spans="14:50" ht="12.75" customHeight="1">
      <c r="O71" s="16" t="s">
        <v>291</v>
      </c>
      <c r="P71" s="7" t="s">
        <v>44</v>
      </c>
      <c r="Q71" s="7">
        <v>8900</v>
      </c>
      <c r="R71" s="17">
        <v>1203</v>
      </c>
      <c r="AN71" s="142" t="s">
        <v>533</v>
      </c>
      <c r="AO71" s="7" t="s">
        <v>284</v>
      </c>
      <c r="AP71" s="7" t="s">
        <v>537</v>
      </c>
      <c r="AQ71" s="7" t="s">
        <v>273</v>
      </c>
      <c r="AR71" s="7" t="s">
        <v>31</v>
      </c>
      <c r="AS71">
        <v>59</v>
      </c>
      <c r="AT71">
        <v>341</v>
      </c>
      <c r="AU71">
        <v>2219</v>
      </c>
      <c r="AV71"/>
      <c r="AW71" s="344" t="s">
        <v>273</v>
      </c>
      <c r="AX71" s="142" t="b">
        <f t="shared" si="40"/>
        <v>1</v>
      </c>
    </row>
    <row r="72" spans="14:50" ht="12.75" customHeight="1">
      <c r="N72" s="7" t="s">
        <v>61</v>
      </c>
      <c r="O72" s="16" t="s">
        <v>292</v>
      </c>
      <c r="P72" s="7" t="s">
        <v>20</v>
      </c>
      <c r="Q72" s="7">
        <v>3872</v>
      </c>
      <c r="R72" s="17">
        <v>1330</v>
      </c>
      <c r="AN72" s="142" t="s">
        <v>533</v>
      </c>
      <c r="AO72" s="7" t="s">
        <v>284</v>
      </c>
      <c r="AP72" s="7" t="s">
        <v>537</v>
      </c>
      <c r="AQ72" s="7" t="s">
        <v>274</v>
      </c>
      <c r="AR72" s="7" t="s">
        <v>32</v>
      </c>
      <c r="AS72">
        <v>62</v>
      </c>
      <c r="AT72">
        <v>228</v>
      </c>
      <c r="AU72">
        <v>870</v>
      </c>
      <c r="AV72"/>
      <c r="AW72" s="344" t="s">
        <v>274</v>
      </c>
      <c r="AX72" s="142" t="b">
        <f t="shared" si="40"/>
        <v>1</v>
      </c>
    </row>
    <row r="73" spans="14:50" ht="12.75" customHeight="1">
      <c r="O73" s="16" t="s">
        <v>292</v>
      </c>
      <c r="P73" s="7" t="s">
        <v>25</v>
      </c>
      <c r="Q73" s="7">
        <v>7333</v>
      </c>
      <c r="R73" s="17">
        <v>967</v>
      </c>
      <c r="AN73" s="142" t="s">
        <v>533</v>
      </c>
      <c r="AO73" s="7" t="s">
        <v>284</v>
      </c>
      <c r="AP73" s="7" t="s">
        <v>537</v>
      </c>
      <c r="AQ73" s="7" t="s">
        <v>275</v>
      </c>
      <c r="AR73" s="7" t="s">
        <v>33</v>
      </c>
      <c r="AS73">
        <v>127</v>
      </c>
      <c r="AT73">
        <v>581</v>
      </c>
      <c r="AU73">
        <v>1605</v>
      </c>
      <c r="AV73"/>
      <c r="AW73" s="344" t="s">
        <v>275</v>
      </c>
      <c r="AX73" s="142" t="b">
        <f t="shared" si="40"/>
        <v>1</v>
      </c>
    </row>
    <row r="74" spans="14:50" ht="12.75" customHeight="1">
      <c r="O74" s="20" t="s">
        <v>292</v>
      </c>
      <c r="P74" s="21" t="s">
        <v>44</v>
      </c>
      <c r="Q74" s="21">
        <v>2235</v>
      </c>
      <c r="R74" s="22">
        <v>907</v>
      </c>
      <c r="AN74" s="142" t="s">
        <v>533</v>
      </c>
      <c r="AO74" s="7" t="s">
        <v>284</v>
      </c>
      <c r="AP74" s="7" t="s">
        <v>537</v>
      </c>
      <c r="AQ74" s="7" t="s">
        <v>276</v>
      </c>
      <c r="AR74" s="7" t="s">
        <v>34</v>
      </c>
      <c r="AS74">
        <v>16</v>
      </c>
      <c r="AT74">
        <v>57</v>
      </c>
      <c r="AU74">
        <v>1829</v>
      </c>
      <c r="AV74"/>
      <c r="AW74" s="344" t="s">
        <v>276</v>
      </c>
      <c r="AX74" s="142" t="b">
        <f t="shared" si="40"/>
        <v>1</v>
      </c>
    </row>
    <row r="75" spans="14:50" ht="12.75" customHeight="1">
      <c r="Q75"/>
      <c r="R75"/>
      <c r="AN75" s="142" t="s">
        <v>533</v>
      </c>
      <c r="AO75" s="7" t="s">
        <v>284</v>
      </c>
      <c r="AP75" s="7" t="s">
        <v>537</v>
      </c>
      <c r="AQ75" s="7" t="s">
        <v>277</v>
      </c>
      <c r="AR75" s="7" t="s">
        <v>35</v>
      </c>
      <c r="AS75">
        <v>124</v>
      </c>
      <c r="AT75">
        <v>634</v>
      </c>
      <c r="AU75">
        <v>1148</v>
      </c>
      <c r="AV75"/>
      <c r="AW75" s="344" t="s">
        <v>277</v>
      </c>
      <c r="AX75" s="142" t="b">
        <f t="shared" si="40"/>
        <v>1</v>
      </c>
    </row>
    <row r="76" spans="14:50" ht="12.75" customHeight="1">
      <c r="Q76"/>
      <c r="R76"/>
      <c r="AN76" s="142" t="s">
        <v>533</v>
      </c>
      <c r="AO76" s="7" t="s">
        <v>284</v>
      </c>
      <c r="AP76" s="7" t="s">
        <v>537</v>
      </c>
      <c r="AQ76" s="7" t="s">
        <v>278</v>
      </c>
      <c r="AR76" s="7" t="s">
        <v>36</v>
      </c>
      <c r="AS76">
        <v>29</v>
      </c>
      <c r="AT76">
        <v>360</v>
      </c>
      <c r="AU76">
        <v>851</v>
      </c>
      <c r="AV76"/>
      <c r="AW76" s="344" t="s">
        <v>278</v>
      </c>
      <c r="AX76" s="142" t="b">
        <f t="shared" si="40"/>
        <v>1</v>
      </c>
    </row>
    <row r="77" spans="14:50" ht="12.75" customHeight="1">
      <c r="Q77"/>
      <c r="R77"/>
      <c r="AN77" s="142" t="s">
        <v>533</v>
      </c>
      <c r="AO77" s="7" t="s">
        <v>284</v>
      </c>
      <c r="AP77" s="7" t="s">
        <v>537</v>
      </c>
      <c r="AQ77" s="7" t="s">
        <v>279</v>
      </c>
      <c r="AR77" s="7" t="s">
        <v>37</v>
      </c>
      <c r="AS77">
        <v>124</v>
      </c>
      <c r="AT77">
        <v>2322</v>
      </c>
      <c r="AU77">
        <v>1208</v>
      </c>
      <c r="AV77"/>
      <c r="AW77" s="344" t="s">
        <v>279</v>
      </c>
      <c r="AX77" s="142" t="b">
        <f t="shared" si="40"/>
        <v>1</v>
      </c>
    </row>
    <row r="78" spans="14:50" ht="12.75" customHeight="1">
      <c r="AN78" s="142" t="s">
        <v>533</v>
      </c>
      <c r="AO78" s="7" t="s">
        <v>284</v>
      </c>
      <c r="AP78" s="7" t="s">
        <v>537</v>
      </c>
      <c r="AQ78" s="7" t="s">
        <v>280</v>
      </c>
      <c r="AR78" s="7" t="s">
        <v>38</v>
      </c>
      <c r="AS78">
        <v>65</v>
      </c>
      <c r="AT78">
        <v>1120</v>
      </c>
      <c r="AU78">
        <v>643</v>
      </c>
      <c r="AV78"/>
      <c r="AW78" s="344" t="s">
        <v>280</v>
      </c>
      <c r="AX78" s="142" t="b">
        <f t="shared" si="40"/>
        <v>1</v>
      </c>
    </row>
    <row r="79" spans="14:50" ht="12.75" customHeight="1">
      <c r="AN79" s="142" t="s">
        <v>533</v>
      </c>
      <c r="AO79" s="7" t="s">
        <v>284</v>
      </c>
      <c r="AP79" s="7" t="s">
        <v>537</v>
      </c>
      <c r="AQ79" s="7" t="s">
        <v>281</v>
      </c>
      <c r="AR79" s="7" t="s">
        <v>39</v>
      </c>
      <c r="AS79">
        <v>263</v>
      </c>
      <c r="AT79">
        <v>3627</v>
      </c>
      <c r="AU79">
        <v>666</v>
      </c>
      <c r="AV79"/>
      <c r="AW79" s="344" t="s">
        <v>281</v>
      </c>
      <c r="AX79" s="142" t="b">
        <f t="shared" si="40"/>
        <v>1</v>
      </c>
    </row>
    <row r="80" spans="14:50" ht="12.75" customHeight="1">
      <c r="AN80" s="142" t="s">
        <v>533</v>
      </c>
      <c r="AO80" s="7" t="s">
        <v>284</v>
      </c>
      <c r="AP80" s="7" t="s">
        <v>537</v>
      </c>
      <c r="AQ80" s="7" t="s">
        <v>282</v>
      </c>
      <c r="AR80" s="7" t="s">
        <v>40</v>
      </c>
      <c r="AS80">
        <v>148</v>
      </c>
      <c r="AT80">
        <v>544</v>
      </c>
      <c r="AU80">
        <v>915</v>
      </c>
      <c r="AV80"/>
      <c r="AW80" s="344" t="s">
        <v>282</v>
      </c>
      <c r="AX80" s="142" t="b">
        <f t="shared" si="40"/>
        <v>1</v>
      </c>
    </row>
    <row r="81" spans="40:50" ht="12.75" customHeight="1">
      <c r="AN81" s="142" t="s">
        <v>533</v>
      </c>
      <c r="AO81" s="7" t="s">
        <v>284</v>
      </c>
      <c r="AP81" s="7" t="s">
        <v>537</v>
      </c>
      <c r="AQ81" s="7" t="s">
        <v>283</v>
      </c>
      <c r="AR81" s="7" t="s">
        <v>41</v>
      </c>
      <c r="AS81" t="s">
        <v>586</v>
      </c>
      <c r="AT81" t="s">
        <v>586</v>
      </c>
      <c r="AU81" t="s">
        <v>586</v>
      </c>
      <c r="AV81" s="339"/>
      <c r="AW81" s="344" t="s">
        <v>283</v>
      </c>
      <c r="AX81" s="142" t="b">
        <f t="shared" si="40"/>
        <v>1</v>
      </c>
    </row>
    <row r="82" spans="40:50" ht="12.75" customHeight="1">
      <c r="AN82" s="142" t="s">
        <v>533</v>
      </c>
      <c r="AO82" s="7" t="s">
        <v>284</v>
      </c>
      <c r="AP82" s="7" t="s">
        <v>541</v>
      </c>
      <c r="AQ82" s="86" t="s">
        <v>536</v>
      </c>
      <c r="AR82" s="7" t="s">
        <v>44</v>
      </c>
      <c r="AS82">
        <v>117</v>
      </c>
      <c r="AT82">
        <v>3028</v>
      </c>
      <c r="AU82">
        <v>933</v>
      </c>
      <c r="AV82"/>
      <c r="AW82" s="344" t="s">
        <v>536</v>
      </c>
      <c r="AX82" s="142" t="b">
        <f t="shared" si="40"/>
        <v>1</v>
      </c>
    </row>
    <row r="83" spans="40:50" ht="12.75" customHeight="1">
      <c r="AN83" s="142" t="s">
        <v>533</v>
      </c>
      <c r="AO83" s="7" t="s">
        <v>284</v>
      </c>
      <c r="AP83" s="7" t="s">
        <v>542</v>
      </c>
      <c r="AQ83" s="86" t="s">
        <v>536</v>
      </c>
      <c r="AR83" s="7" t="s">
        <v>45</v>
      </c>
      <c r="AS83">
        <v>31</v>
      </c>
      <c r="AT83">
        <v>131</v>
      </c>
      <c r="AU83">
        <v>1433</v>
      </c>
      <c r="AV83"/>
      <c r="AW83" s="344" t="s">
        <v>536</v>
      </c>
      <c r="AX83" s="142" t="b">
        <f t="shared" si="40"/>
        <v>1</v>
      </c>
    </row>
    <row r="84" spans="40:50" ht="12.75" customHeight="1">
      <c r="AN84" s="142" t="s">
        <v>533</v>
      </c>
      <c r="AO84" s="7" t="s">
        <v>284</v>
      </c>
      <c r="AP84" s="7" t="s">
        <v>543</v>
      </c>
      <c r="AQ84" s="86" t="s">
        <v>536</v>
      </c>
      <c r="AR84" s="7" t="s">
        <v>46</v>
      </c>
      <c r="AS84">
        <v>34</v>
      </c>
      <c r="AT84">
        <v>192</v>
      </c>
      <c r="AU84">
        <v>1125</v>
      </c>
      <c r="AV84"/>
      <c r="AW84" s="344" t="s">
        <v>536</v>
      </c>
      <c r="AX84" s="142" t="b">
        <f t="shared" si="40"/>
        <v>1</v>
      </c>
    </row>
    <row r="85" spans="40:50" ht="12.75" customHeight="1">
      <c r="AN85" s="142" t="s">
        <v>533</v>
      </c>
      <c r="AO85" s="7" t="s">
        <v>284</v>
      </c>
      <c r="AP85" s="7" t="s">
        <v>544</v>
      </c>
      <c r="AQ85" s="86" t="s">
        <v>536</v>
      </c>
      <c r="AR85" s="7" t="s">
        <v>47</v>
      </c>
      <c r="AS85">
        <v>52</v>
      </c>
      <c r="AT85">
        <v>2705</v>
      </c>
      <c r="AU85">
        <v>895</v>
      </c>
      <c r="AV85"/>
      <c r="AW85" s="344" t="s">
        <v>536</v>
      </c>
      <c r="AX85" s="142" t="b">
        <f t="shared" si="40"/>
        <v>1</v>
      </c>
    </row>
    <row r="86" spans="40:50" ht="12.75" customHeight="1">
      <c r="AN86" s="142" t="s">
        <v>96</v>
      </c>
      <c r="AO86" s="7" t="s">
        <v>285</v>
      </c>
      <c r="AP86" s="7" t="s">
        <v>535</v>
      </c>
      <c r="AQ86" s="86" t="s">
        <v>536</v>
      </c>
      <c r="AR86" s="7" t="s">
        <v>42</v>
      </c>
      <c r="AS86">
        <v>2047</v>
      </c>
      <c r="AT86">
        <v>31112</v>
      </c>
      <c r="AU86">
        <v>1145</v>
      </c>
      <c r="AV86"/>
      <c r="AW86" s="344" t="s">
        <v>536</v>
      </c>
      <c r="AX86" s="142" t="b">
        <f t="shared" si="40"/>
        <v>1</v>
      </c>
    </row>
    <row r="87" spans="40:50" ht="12.75" customHeight="1">
      <c r="AN87" s="142" t="s">
        <v>533</v>
      </c>
      <c r="AO87" s="7" t="s">
        <v>285</v>
      </c>
      <c r="AP87" s="7" t="s">
        <v>537</v>
      </c>
      <c r="AQ87" s="86" t="s">
        <v>536</v>
      </c>
      <c r="AR87" s="7" t="s">
        <v>43</v>
      </c>
      <c r="AS87">
        <v>1924</v>
      </c>
      <c r="AT87">
        <v>26520</v>
      </c>
      <c r="AU87">
        <v>1178</v>
      </c>
      <c r="AV87"/>
      <c r="AW87" s="344" t="s">
        <v>536</v>
      </c>
      <c r="AX87" s="142" t="b">
        <f t="shared" si="40"/>
        <v>1</v>
      </c>
    </row>
    <row r="88" spans="40:50" ht="12.75" customHeight="1">
      <c r="AN88" s="142" t="s">
        <v>533</v>
      </c>
      <c r="AO88" s="7" t="s">
        <v>285</v>
      </c>
      <c r="AP88" s="7" t="s">
        <v>537</v>
      </c>
      <c r="AQ88" s="7" t="s">
        <v>265</v>
      </c>
      <c r="AR88" s="7" t="s">
        <v>20</v>
      </c>
      <c r="AS88">
        <v>445</v>
      </c>
      <c r="AT88">
        <v>7133</v>
      </c>
      <c r="AU88">
        <v>1480</v>
      </c>
      <c r="AV88"/>
      <c r="AW88" s="344" t="s">
        <v>265</v>
      </c>
      <c r="AX88" s="142" t="b">
        <f t="shared" si="40"/>
        <v>1</v>
      </c>
    </row>
    <row r="89" spans="40:50" ht="12.75" customHeight="1">
      <c r="AN89" s="142" t="s">
        <v>533</v>
      </c>
      <c r="AO89" s="7" t="s">
        <v>285</v>
      </c>
      <c r="AP89" s="7" t="s">
        <v>537</v>
      </c>
      <c r="AQ89" s="7" t="s">
        <v>266</v>
      </c>
      <c r="AR89" s="7" t="s">
        <v>21</v>
      </c>
      <c r="AS89" t="s">
        <v>586</v>
      </c>
      <c r="AT89" t="s">
        <v>586</v>
      </c>
      <c r="AU89" t="s">
        <v>586</v>
      </c>
      <c r="AV89" s="339"/>
      <c r="AW89" s="344" t="s">
        <v>266</v>
      </c>
      <c r="AX89" s="142" t="b">
        <f t="shared" si="40"/>
        <v>1</v>
      </c>
    </row>
    <row r="90" spans="40:50" ht="12.75" customHeight="1">
      <c r="AN90" s="142" t="s">
        <v>533</v>
      </c>
      <c r="AO90" s="7" t="s">
        <v>285</v>
      </c>
      <c r="AP90" s="7" t="s">
        <v>537</v>
      </c>
      <c r="AQ90" s="7" t="s">
        <v>267</v>
      </c>
      <c r="AR90" s="7" t="s">
        <v>22</v>
      </c>
      <c r="AS90" t="s">
        <v>586</v>
      </c>
      <c r="AT90" t="s">
        <v>586</v>
      </c>
      <c r="AU90" t="s">
        <v>586</v>
      </c>
      <c r="AV90" s="339"/>
      <c r="AW90" s="344" t="s">
        <v>267</v>
      </c>
      <c r="AX90" s="142" t="b">
        <f t="shared" si="40"/>
        <v>1</v>
      </c>
    </row>
    <row r="91" spans="40:50" ht="12.75" customHeight="1">
      <c r="AN91" s="142" t="s">
        <v>533</v>
      </c>
      <c r="AO91" s="7" t="s">
        <v>285</v>
      </c>
      <c r="AP91" s="7" t="s">
        <v>537</v>
      </c>
      <c r="AQ91" s="7" t="s">
        <v>268</v>
      </c>
      <c r="AR91" s="7" t="s">
        <v>23</v>
      </c>
      <c r="AS91">
        <v>287</v>
      </c>
      <c r="AT91">
        <v>1894</v>
      </c>
      <c r="AU91">
        <v>1575</v>
      </c>
      <c r="AV91"/>
      <c r="AW91" s="344" t="s">
        <v>268</v>
      </c>
      <c r="AX91" s="142" t="b">
        <f t="shared" si="40"/>
        <v>1</v>
      </c>
    </row>
    <row r="92" spans="40:50" ht="12.75" customHeight="1">
      <c r="AN92" s="142" t="s">
        <v>533</v>
      </c>
      <c r="AO92" s="7" t="s">
        <v>285</v>
      </c>
      <c r="AP92" s="7" t="s">
        <v>537</v>
      </c>
      <c r="AQ92" s="7" t="s">
        <v>538</v>
      </c>
      <c r="AR92" s="7" t="s">
        <v>24</v>
      </c>
      <c r="AS92">
        <v>126</v>
      </c>
      <c r="AT92">
        <v>5053</v>
      </c>
      <c r="AU92">
        <v>1474</v>
      </c>
      <c r="AV92"/>
      <c r="AW92" s="344" t="s">
        <v>538</v>
      </c>
      <c r="AX92" s="142" t="b">
        <f t="shared" si="40"/>
        <v>1</v>
      </c>
    </row>
    <row r="93" spans="40:50" ht="12.75" customHeight="1">
      <c r="AN93" s="142" t="s">
        <v>533</v>
      </c>
      <c r="AO93" s="7" t="s">
        <v>285</v>
      </c>
      <c r="AP93" s="7" t="s">
        <v>537</v>
      </c>
      <c r="AQ93" s="7" t="s">
        <v>269</v>
      </c>
      <c r="AR93" s="7" t="s">
        <v>25</v>
      </c>
      <c r="AS93">
        <v>1479</v>
      </c>
      <c r="AT93">
        <v>19387</v>
      </c>
      <c r="AU93">
        <v>1067</v>
      </c>
      <c r="AV93"/>
      <c r="AW93" s="344" t="s">
        <v>269</v>
      </c>
      <c r="AX93" s="142" t="b">
        <f t="shared" si="40"/>
        <v>1</v>
      </c>
    </row>
    <row r="94" spans="40:50" ht="12.75" customHeight="1">
      <c r="AN94" s="142" t="s">
        <v>533</v>
      </c>
      <c r="AO94" s="7" t="s">
        <v>285</v>
      </c>
      <c r="AP94" s="7" t="s">
        <v>537</v>
      </c>
      <c r="AQ94" s="7" t="s">
        <v>270</v>
      </c>
      <c r="AR94" s="7" t="s">
        <v>26</v>
      </c>
      <c r="AS94" t="s">
        <v>586</v>
      </c>
      <c r="AT94" t="s">
        <v>586</v>
      </c>
      <c r="AU94" t="s">
        <v>586</v>
      </c>
      <c r="AV94"/>
      <c r="AW94" s="344" t="s">
        <v>270</v>
      </c>
      <c r="AX94" s="142" t="b">
        <f t="shared" si="40"/>
        <v>1</v>
      </c>
    </row>
    <row r="95" spans="40:50" ht="12.75" customHeight="1">
      <c r="AN95" s="142" t="s">
        <v>533</v>
      </c>
      <c r="AO95" s="7" t="s">
        <v>285</v>
      </c>
      <c r="AP95" s="7" t="s">
        <v>537</v>
      </c>
      <c r="AQ95" s="7" t="s">
        <v>271</v>
      </c>
      <c r="AR95" s="7" t="s">
        <v>27</v>
      </c>
      <c r="AS95">
        <v>71</v>
      </c>
      <c r="AT95">
        <v>818</v>
      </c>
      <c r="AU95">
        <v>1701</v>
      </c>
      <c r="AV95"/>
      <c r="AW95" s="344" t="s">
        <v>271</v>
      </c>
      <c r="AX95" s="142" t="b">
        <f t="shared" si="40"/>
        <v>1</v>
      </c>
    </row>
    <row r="96" spans="40:50" ht="12.75" customHeight="1">
      <c r="AN96" s="142" t="s">
        <v>533</v>
      </c>
      <c r="AO96" s="7" t="s">
        <v>285</v>
      </c>
      <c r="AP96" s="7" t="s">
        <v>537</v>
      </c>
      <c r="AQ96" s="7" t="s">
        <v>539</v>
      </c>
      <c r="AR96" s="7" t="s">
        <v>28</v>
      </c>
      <c r="AS96">
        <v>299</v>
      </c>
      <c r="AT96">
        <v>5115</v>
      </c>
      <c r="AU96">
        <v>734</v>
      </c>
      <c r="AV96"/>
      <c r="AW96" s="344" t="s">
        <v>539</v>
      </c>
      <c r="AX96" s="142" t="b">
        <f t="shared" si="40"/>
        <v>1</v>
      </c>
    </row>
    <row r="97" spans="40:50" ht="12.75" customHeight="1">
      <c r="AN97" s="142" t="s">
        <v>533</v>
      </c>
      <c r="AO97" s="7" t="s">
        <v>285</v>
      </c>
      <c r="AP97" s="7" t="s">
        <v>537</v>
      </c>
      <c r="AQ97" s="7" t="s">
        <v>540</v>
      </c>
      <c r="AR97" s="7" t="s">
        <v>29</v>
      </c>
      <c r="AS97">
        <v>43</v>
      </c>
      <c r="AT97">
        <v>669</v>
      </c>
      <c r="AU97">
        <v>1127</v>
      </c>
      <c r="AV97"/>
      <c r="AW97" s="344" t="s">
        <v>540</v>
      </c>
      <c r="AX97" s="142" t="b">
        <f t="shared" si="40"/>
        <v>1</v>
      </c>
    </row>
    <row r="98" spans="40:50" ht="12.75" customHeight="1">
      <c r="AN98" s="142" t="s">
        <v>533</v>
      </c>
      <c r="AO98" s="7" t="s">
        <v>285</v>
      </c>
      <c r="AP98" s="7" t="s">
        <v>537</v>
      </c>
      <c r="AQ98" s="7" t="s">
        <v>272</v>
      </c>
      <c r="AR98" s="7" t="s">
        <v>30</v>
      </c>
      <c r="AS98">
        <v>30</v>
      </c>
      <c r="AT98">
        <v>296</v>
      </c>
      <c r="AU98">
        <v>1489</v>
      </c>
      <c r="AV98"/>
      <c r="AW98" s="344" t="s">
        <v>272</v>
      </c>
      <c r="AX98" s="142" t="b">
        <f t="shared" si="40"/>
        <v>1</v>
      </c>
    </row>
    <row r="99" spans="40:50" ht="12.75" customHeight="1">
      <c r="AN99" s="142" t="s">
        <v>533</v>
      </c>
      <c r="AO99" s="7" t="s">
        <v>285</v>
      </c>
      <c r="AP99" s="7" t="s">
        <v>537</v>
      </c>
      <c r="AQ99" s="7" t="s">
        <v>273</v>
      </c>
      <c r="AR99" s="7" t="s">
        <v>31</v>
      </c>
      <c r="AS99">
        <v>84</v>
      </c>
      <c r="AT99">
        <v>805</v>
      </c>
      <c r="AU99">
        <v>2086</v>
      </c>
      <c r="AV99"/>
      <c r="AW99" s="344" t="s">
        <v>273</v>
      </c>
      <c r="AX99" s="142" t="b">
        <f t="shared" si="40"/>
        <v>1</v>
      </c>
    </row>
    <row r="100" spans="40:50" ht="12.75" customHeight="1">
      <c r="AN100" s="142" t="s">
        <v>533</v>
      </c>
      <c r="AO100" s="7" t="s">
        <v>285</v>
      </c>
      <c r="AP100" s="7" t="s">
        <v>537</v>
      </c>
      <c r="AQ100" s="7" t="s">
        <v>274</v>
      </c>
      <c r="AR100" s="7" t="s">
        <v>32</v>
      </c>
      <c r="AS100" t="s">
        <v>586</v>
      </c>
      <c r="AT100" t="s">
        <v>586</v>
      </c>
      <c r="AU100" t="s">
        <v>586</v>
      </c>
      <c r="AV100" s="339"/>
      <c r="AW100" s="344" t="s">
        <v>274</v>
      </c>
      <c r="AX100" s="142" t="b">
        <f t="shared" si="40"/>
        <v>1</v>
      </c>
    </row>
    <row r="101" spans="40:50" ht="12.75" customHeight="1">
      <c r="AN101" s="142" t="s">
        <v>533</v>
      </c>
      <c r="AO101" s="7" t="s">
        <v>285</v>
      </c>
      <c r="AP101" s="7" t="s">
        <v>537</v>
      </c>
      <c r="AQ101" s="7" t="s">
        <v>275</v>
      </c>
      <c r="AR101" s="7" t="s">
        <v>33</v>
      </c>
      <c r="AS101">
        <v>163</v>
      </c>
      <c r="AT101">
        <v>739</v>
      </c>
      <c r="AU101">
        <v>1783</v>
      </c>
      <c r="AV101"/>
      <c r="AW101" s="344" t="s">
        <v>275</v>
      </c>
      <c r="AX101" s="142" t="b">
        <f t="shared" si="40"/>
        <v>1</v>
      </c>
    </row>
    <row r="102" spans="40:50" ht="12.75" customHeight="1">
      <c r="AN102" s="142" t="s">
        <v>533</v>
      </c>
      <c r="AO102" s="7" t="s">
        <v>285</v>
      </c>
      <c r="AP102" s="7" t="s">
        <v>537</v>
      </c>
      <c r="AQ102" s="7" t="s">
        <v>276</v>
      </c>
      <c r="AR102" s="7" t="s">
        <v>34</v>
      </c>
      <c r="AS102" t="s">
        <v>586</v>
      </c>
      <c r="AT102" t="s">
        <v>586</v>
      </c>
      <c r="AU102" t="s">
        <v>586</v>
      </c>
      <c r="AV102"/>
      <c r="AW102" s="344" t="s">
        <v>276</v>
      </c>
      <c r="AX102" s="142" t="b">
        <f t="shared" si="40"/>
        <v>1</v>
      </c>
    </row>
    <row r="103" spans="40:50" ht="12.75" customHeight="1">
      <c r="AN103" s="142" t="s">
        <v>533</v>
      </c>
      <c r="AO103" s="7" t="s">
        <v>285</v>
      </c>
      <c r="AP103" s="7" t="s">
        <v>537</v>
      </c>
      <c r="AQ103" s="7" t="s">
        <v>277</v>
      </c>
      <c r="AR103" s="7" t="s">
        <v>35</v>
      </c>
      <c r="AS103">
        <v>125</v>
      </c>
      <c r="AT103">
        <v>823</v>
      </c>
      <c r="AU103">
        <v>959</v>
      </c>
      <c r="AV103"/>
      <c r="AW103" s="344" t="s">
        <v>277</v>
      </c>
      <c r="AX103" s="142" t="b">
        <f t="shared" si="40"/>
        <v>1</v>
      </c>
    </row>
    <row r="104" spans="40:50" ht="12.75" customHeight="1">
      <c r="AN104" s="142" t="s">
        <v>533</v>
      </c>
      <c r="AO104" s="7" t="s">
        <v>285</v>
      </c>
      <c r="AP104" s="7" t="s">
        <v>537</v>
      </c>
      <c r="AQ104" s="7" t="s">
        <v>278</v>
      </c>
      <c r="AR104" s="7" t="s">
        <v>36</v>
      </c>
      <c r="AS104">
        <v>27</v>
      </c>
      <c r="AT104">
        <v>811</v>
      </c>
      <c r="AU104">
        <v>873</v>
      </c>
      <c r="AV104"/>
      <c r="AW104" s="344" t="s">
        <v>278</v>
      </c>
      <c r="AX104" s="142" t="b">
        <f t="shared" si="40"/>
        <v>1</v>
      </c>
    </row>
    <row r="105" spans="40:50" ht="12.75" customHeight="1">
      <c r="AN105" s="142" t="s">
        <v>533</v>
      </c>
      <c r="AO105" s="7" t="s">
        <v>285</v>
      </c>
      <c r="AP105" s="7" t="s">
        <v>537</v>
      </c>
      <c r="AQ105" s="7" t="s">
        <v>279</v>
      </c>
      <c r="AR105" s="7" t="s">
        <v>37</v>
      </c>
      <c r="AS105">
        <v>175</v>
      </c>
      <c r="AT105">
        <v>4013</v>
      </c>
      <c r="AU105">
        <v>1190</v>
      </c>
      <c r="AV105"/>
      <c r="AW105" s="344" t="s">
        <v>279</v>
      </c>
      <c r="AX105" s="142" t="b">
        <f t="shared" si="40"/>
        <v>1</v>
      </c>
    </row>
    <row r="106" spans="40:50" ht="12.75" customHeight="1">
      <c r="AN106" s="142" t="s">
        <v>533</v>
      </c>
      <c r="AO106" s="7" t="s">
        <v>285</v>
      </c>
      <c r="AP106" s="7" t="s">
        <v>537</v>
      </c>
      <c r="AQ106" s="7" t="s">
        <v>280</v>
      </c>
      <c r="AR106" s="7" t="s">
        <v>38</v>
      </c>
      <c r="AS106">
        <v>32</v>
      </c>
      <c r="AT106">
        <v>332</v>
      </c>
      <c r="AU106">
        <v>667</v>
      </c>
      <c r="AV106"/>
      <c r="AW106" s="344" t="s">
        <v>280</v>
      </c>
      <c r="AX106" s="142" t="b">
        <f t="shared" si="40"/>
        <v>1</v>
      </c>
    </row>
    <row r="107" spans="40:50" ht="12.75" customHeight="1">
      <c r="AN107" s="142" t="s">
        <v>533</v>
      </c>
      <c r="AO107" s="7" t="s">
        <v>285</v>
      </c>
      <c r="AP107" s="7" t="s">
        <v>537</v>
      </c>
      <c r="AQ107" s="7" t="s">
        <v>281</v>
      </c>
      <c r="AR107" s="7" t="s">
        <v>39</v>
      </c>
      <c r="AS107">
        <v>160</v>
      </c>
      <c r="AT107">
        <v>2460</v>
      </c>
      <c r="AU107">
        <v>489</v>
      </c>
      <c r="AV107"/>
      <c r="AW107" s="344" t="s">
        <v>281</v>
      </c>
      <c r="AX107" s="142" t="b">
        <f t="shared" si="40"/>
        <v>1</v>
      </c>
    </row>
    <row r="108" spans="40:50" ht="12.75" customHeight="1">
      <c r="AN108" s="142" t="s">
        <v>533</v>
      </c>
      <c r="AO108" s="7" t="s">
        <v>285</v>
      </c>
      <c r="AP108" s="7" t="s">
        <v>537</v>
      </c>
      <c r="AQ108" s="7" t="s">
        <v>282</v>
      </c>
      <c r="AR108" s="7" t="s">
        <v>40</v>
      </c>
      <c r="AS108">
        <v>187</v>
      </c>
      <c r="AT108">
        <v>1297</v>
      </c>
      <c r="AU108">
        <v>751</v>
      </c>
      <c r="AV108"/>
      <c r="AW108" s="344" t="s">
        <v>282</v>
      </c>
      <c r="AX108" s="142" t="b">
        <f t="shared" si="40"/>
        <v>1</v>
      </c>
    </row>
    <row r="109" spans="40:50" ht="12.75" customHeight="1">
      <c r="AN109" s="142" t="s">
        <v>533</v>
      </c>
      <c r="AO109" s="7" t="s">
        <v>285</v>
      </c>
      <c r="AP109" s="7" t="s">
        <v>537</v>
      </c>
      <c r="AQ109" s="7" t="s">
        <v>283</v>
      </c>
      <c r="AR109" s="7" t="s">
        <v>41</v>
      </c>
      <c r="AS109" t="s">
        <v>586</v>
      </c>
      <c r="AT109" t="s">
        <v>586</v>
      </c>
      <c r="AU109" t="s">
        <v>586</v>
      </c>
      <c r="AV109" s="339"/>
      <c r="AW109" s="344" t="s">
        <v>283</v>
      </c>
      <c r="AX109" s="142" t="b">
        <f t="shared" si="40"/>
        <v>1</v>
      </c>
    </row>
    <row r="110" spans="40:50" ht="12.75" customHeight="1">
      <c r="AN110" s="142" t="s">
        <v>533</v>
      </c>
      <c r="AO110" s="7" t="s">
        <v>285</v>
      </c>
      <c r="AP110" s="7" t="s">
        <v>541</v>
      </c>
      <c r="AQ110" s="86" t="s">
        <v>536</v>
      </c>
      <c r="AR110" s="7" t="s">
        <v>44</v>
      </c>
      <c r="AS110">
        <v>123</v>
      </c>
      <c r="AT110">
        <v>4592</v>
      </c>
      <c r="AU110">
        <v>953</v>
      </c>
      <c r="AV110"/>
      <c r="AW110" s="344" t="s">
        <v>536</v>
      </c>
      <c r="AX110" s="142" t="b">
        <f t="shared" si="40"/>
        <v>1</v>
      </c>
    </row>
    <row r="111" spans="40:50" ht="12.75" customHeight="1">
      <c r="AN111" s="142" t="s">
        <v>533</v>
      </c>
      <c r="AO111" s="7" t="s">
        <v>285</v>
      </c>
      <c r="AP111" s="7" t="s">
        <v>542</v>
      </c>
      <c r="AQ111" s="86" t="s">
        <v>536</v>
      </c>
      <c r="AR111" s="7" t="s">
        <v>45</v>
      </c>
      <c r="AS111">
        <v>27</v>
      </c>
      <c r="AT111">
        <v>172</v>
      </c>
      <c r="AU111">
        <v>1409</v>
      </c>
      <c r="AV111"/>
      <c r="AW111" s="344" t="s">
        <v>536</v>
      </c>
      <c r="AX111" s="142" t="b">
        <f t="shared" si="40"/>
        <v>1</v>
      </c>
    </row>
    <row r="112" spans="40:50" ht="12.75" customHeight="1">
      <c r="AN112" s="142" t="s">
        <v>533</v>
      </c>
      <c r="AO112" s="7" t="s">
        <v>285</v>
      </c>
      <c r="AP112" s="7" t="s">
        <v>543</v>
      </c>
      <c r="AQ112" s="86" t="s">
        <v>536</v>
      </c>
      <c r="AR112" s="7" t="s">
        <v>46</v>
      </c>
      <c r="AS112">
        <v>42</v>
      </c>
      <c r="AT112">
        <v>902</v>
      </c>
      <c r="AU112">
        <v>1128</v>
      </c>
      <c r="AV112"/>
      <c r="AW112" s="344" t="s">
        <v>536</v>
      </c>
      <c r="AX112" s="142" t="b">
        <f t="shared" si="40"/>
        <v>1</v>
      </c>
    </row>
    <row r="113" spans="40:50" ht="12.75" customHeight="1">
      <c r="AN113" s="142" t="s">
        <v>533</v>
      </c>
      <c r="AO113" s="7" t="s">
        <v>285</v>
      </c>
      <c r="AP113" s="7" t="s">
        <v>544</v>
      </c>
      <c r="AQ113" s="86" t="s">
        <v>536</v>
      </c>
      <c r="AR113" s="7" t="s">
        <v>47</v>
      </c>
      <c r="AS113">
        <v>54</v>
      </c>
      <c r="AT113">
        <v>3518</v>
      </c>
      <c r="AU113">
        <v>885</v>
      </c>
      <c r="AV113"/>
      <c r="AW113" s="344" t="s">
        <v>536</v>
      </c>
      <c r="AX113" s="142" t="b">
        <f t="shared" si="40"/>
        <v>1</v>
      </c>
    </row>
    <row r="114" spans="40:50" ht="12.75" customHeight="1">
      <c r="AN114" s="142" t="s">
        <v>123</v>
      </c>
      <c r="AO114" s="7" t="s">
        <v>286</v>
      </c>
      <c r="AP114" s="7" t="s">
        <v>535</v>
      </c>
      <c r="AQ114" s="86" t="s">
        <v>536</v>
      </c>
      <c r="AR114" s="7" t="s">
        <v>42</v>
      </c>
      <c r="AS114">
        <v>880</v>
      </c>
      <c r="AT114">
        <v>11729</v>
      </c>
      <c r="AU114">
        <v>1025</v>
      </c>
      <c r="AV114"/>
      <c r="AW114" s="344" t="s">
        <v>536</v>
      </c>
      <c r="AX114" s="142" t="b">
        <f t="shared" si="40"/>
        <v>1</v>
      </c>
    </row>
    <row r="115" spans="40:50" ht="12.75" customHeight="1">
      <c r="AN115" s="142" t="s">
        <v>533</v>
      </c>
      <c r="AO115" s="7" t="s">
        <v>286</v>
      </c>
      <c r="AP115" s="7" t="s">
        <v>537</v>
      </c>
      <c r="AQ115" s="86" t="s">
        <v>536</v>
      </c>
      <c r="AR115" s="7" t="s">
        <v>43</v>
      </c>
      <c r="AS115">
        <v>746</v>
      </c>
      <c r="AT115">
        <v>8919</v>
      </c>
      <c r="AU115">
        <v>1031</v>
      </c>
      <c r="AV115"/>
      <c r="AW115" s="344" t="s">
        <v>536</v>
      </c>
      <c r="AX115" s="142" t="b">
        <f t="shared" si="40"/>
        <v>1</v>
      </c>
    </row>
    <row r="116" spans="40:50" ht="12.75" customHeight="1">
      <c r="AN116" s="142" t="s">
        <v>533</v>
      </c>
      <c r="AO116" s="7" t="s">
        <v>286</v>
      </c>
      <c r="AP116" s="7" t="s">
        <v>537</v>
      </c>
      <c r="AQ116" s="7" t="s">
        <v>265</v>
      </c>
      <c r="AR116" s="7" t="s">
        <v>20</v>
      </c>
      <c r="AS116">
        <v>131</v>
      </c>
      <c r="AT116">
        <v>1311</v>
      </c>
      <c r="AU116">
        <v>1337</v>
      </c>
      <c r="AV116"/>
      <c r="AW116" s="344" t="s">
        <v>265</v>
      </c>
      <c r="AX116" s="142" t="b">
        <f t="shared" si="40"/>
        <v>1</v>
      </c>
    </row>
    <row r="117" spans="40:50" ht="12.75" customHeight="1">
      <c r="AN117" s="142" t="s">
        <v>533</v>
      </c>
      <c r="AO117" s="7" t="s">
        <v>286</v>
      </c>
      <c r="AP117" s="7" t="s">
        <v>537</v>
      </c>
      <c r="AQ117" s="7" t="s">
        <v>266</v>
      </c>
      <c r="AR117" s="7" t="s">
        <v>21</v>
      </c>
      <c r="AS117" t="s">
        <v>586</v>
      </c>
      <c r="AT117" t="s">
        <v>586</v>
      </c>
      <c r="AU117" t="s">
        <v>586</v>
      </c>
      <c r="AV117"/>
      <c r="AW117" s="344" t="s">
        <v>266</v>
      </c>
      <c r="AX117" s="142" t="b">
        <f t="shared" si="40"/>
        <v>1</v>
      </c>
    </row>
    <row r="118" spans="40:50" ht="12.75" customHeight="1">
      <c r="AN118" s="142" t="s">
        <v>533</v>
      </c>
      <c r="AO118" s="7" t="s">
        <v>286</v>
      </c>
      <c r="AP118" s="7" t="s">
        <v>537</v>
      </c>
      <c r="AQ118" s="7" t="s">
        <v>267</v>
      </c>
      <c r="AR118" s="7" t="s">
        <v>22</v>
      </c>
      <c r="AS118" t="s">
        <v>586</v>
      </c>
      <c r="AT118" t="s">
        <v>586</v>
      </c>
      <c r="AU118" t="s">
        <v>586</v>
      </c>
      <c r="AV118"/>
      <c r="AW118" s="344" t="s">
        <v>267</v>
      </c>
      <c r="AX118" s="142" t="b">
        <f t="shared" si="40"/>
        <v>1</v>
      </c>
    </row>
    <row r="119" spans="40:50" ht="12.75" customHeight="1">
      <c r="AN119" s="142" t="s">
        <v>533</v>
      </c>
      <c r="AO119" s="7" t="s">
        <v>286</v>
      </c>
      <c r="AP119" s="7" t="s">
        <v>537</v>
      </c>
      <c r="AQ119" s="7" t="s">
        <v>268</v>
      </c>
      <c r="AR119" s="7" t="s">
        <v>23</v>
      </c>
      <c r="AS119">
        <v>67</v>
      </c>
      <c r="AT119">
        <v>506</v>
      </c>
      <c r="AU119">
        <v>1936</v>
      </c>
      <c r="AV119"/>
      <c r="AW119" s="344" t="s">
        <v>268</v>
      </c>
      <c r="AX119" s="142" t="b">
        <f t="shared" si="40"/>
        <v>1</v>
      </c>
    </row>
    <row r="120" spans="40:50" ht="12.75" customHeight="1">
      <c r="AN120" s="142" t="s">
        <v>533</v>
      </c>
      <c r="AO120" s="7" t="s">
        <v>286</v>
      </c>
      <c r="AP120" s="7" t="s">
        <v>537</v>
      </c>
      <c r="AQ120" s="7" t="s">
        <v>538</v>
      </c>
      <c r="AR120" s="7" t="s">
        <v>24</v>
      </c>
      <c r="AS120">
        <v>40</v>
      </c>
      <c r="AT120">
        <v>654</v>
      </c>
      <c r="AU120">
        <v>985</v>
      </c>
      <c r="AV120"/>
      <c r="AW120" s="344" t="s">
        <v>538</v>
      </c>
      <c r="AX120" s="142" t="b">
        <f t="shared" si="40"/>
        <v>1</v>
      </c>
    </row>
    <row r="121" spans="40:50" ht="12.75" customHeight="1">
      <c r="AN121" s="142" t="s">
        <v>533</v>
      </c>
      <c r="AO121" s="7" t="s">
        <v>286</v>
      </c>
      <c r="AP121" s="7" t="s">
        <v>537</v>
      </c>
      <c r="AQ121" s="7" t="s">
        <v>269</v>
      </c>
      <c r="AR121" s="7" t="s">
        <v>25</v>
      </c>
      <c r="AS121">
        <v>615</v>
      </c>
      <c r="AT121">
        <v>7608</v>
      </c>
      <c r="AU121">
        <v>978</v>
      </c>
      <c r="AV121"/>
      <c r="AW121" s="344" t="s">
        <v>269</v>
      </c>
      <c r="AX121" s="142" t="b">
        <f t="shared" si="40"/>
        <v>1</v>
      </c>
    </row>
    <row r="122" spans="40:50" ht="12.75" customHeight="1">
      <c r="AN122" s="142" t="s">
        <v>533</v>
      </c>
      <c r="AO122" s="7" t="s">
        <v>286</v>
      </c>
      <c r="AP122" s="7" t="s">
        <v>537</v>
      </c>
      <c r="AQ122" s="7" t="s">
        <v>270</v>
      </c>
      <c r="AR122" s="7" t="s">
        <v>26</v>
      </c>
      <c r="AS122">
        <v>10</v>
      </c>
      <c r="AT122">
        <v>138</v>
      </c>
      <c r="AU122">
        <v>2465</v>
      </c>
      <c r="AV122"/>
      <c r="AW122" s="344" t="s">
        <v>270</v>
      </c>
      <c r="AX122" s="142" t="b">
        <f t="shared" si="40"/>
        <v>1</v>
      </c>
    </row>
    <row r="123" spans="40:50" ht="12.75" customHeight="1">
      <c r="AN123" s="142" t="s">
        <v>533</v>
      </c>
      <c r="AO123" s="7" t="s">
        <v>286</v>
      </c>
      <c r="AP123" s="7" t="s">
        <v>537</v>
      </c>
      <c r="AQ123" s="7" t="s">
        <v>271</v>
      </c>
      <c r="AR123" s="7" t="s">
        <v>27</v>
      </c>
      <c r="AS123">
        <v>27</v>
      </c>
      <c r="AT123">
        <v>200</v>
      </c>
      <c r="AU123">
        <v>1474</v>
      </c>
      <c r="AV123"/>
      <c r="AW123" s="344" t="s">
        <v>271</v>
      </c>
      <c r="AX123" s="142" t="b">
        <f t="shared" si="40"/>
        <v>1</v>
      </c>
    </row>
    <row r="124" spans="40:50" ht="12.75" customHeight="1">
      <c r="AN124" s="142" t="s">
        <v>533</v>
      </c>
      <c r="AO124" s="7" t="s">
        <v>286</v>
      </c>
      <c r="AP124" s="7" t="s">
        <v>537</v>
      </c>
      <c r="AQ124" s="7" t="s">
        <v>539</v>
      </c>
      <c r="AR124" s="7" t="s">
        <v>28</v>
      </c>
      <c r="AS124">
        <v>125</v>
      </c>
      <c r="AT124">
        <v>1736</v>
      </c>
      <c r="AU124">
        <v>715</v>
      </c>
      <c r="AV124"/>
      <c r="AW124" s="344" t="s">
        <v>539</v>
      </c>
      <c r="AX124" s="142" t="b">
        <f t="shared" si="40"/>
        <v>1</v>
      </c>
    </row>
    <row r="125" spans="40:50" ht="12.75" customHeight="1">
      <c r="AN125" s="142" t="s">
        <v>533</v>
      </c>
      <c r="AO125" s="7" t="s">
        <v>286</v>
      </c>
      <c r="AP125" s="7" t="s">
        <v>537</v>
      </c>
      <c r="AQ125" s="7" t="s">
        <v>540</v>
      </c>
      <c r="AR125" s="7" t="s">
        <v>29</v>
      </c>
      <c r="AS125">
        <v>27</v>
      </c>
      <c r="AT125">
        <v>241</v>
      </c>
      <c r="AU125">
        <v>965</v>
      </c>
      <c r="AV125"/>
      <c r="AW125" s="344" t="s">
        <v>540</v>
      </c>
      <c r="AX125" s="142" t="b">
        <f t="shared" si="40"/>
        <v>1</v>
      </c>
    </row>
    <row r="126" spans="40:50" ht="12.75" customHeight="1">
      <c r="AN126" s="142" t="s">
        <v>533</v>
      </c>
      <c r="AO126" s="7" t="s">
        <v>286</v>
      </c>
      <c r="AP126" s="7" t="s">
        <v>537</v>
      </c>
      <c r="AQ126" s="7" t="s">
        <v>272</v>
      </c>
      <c r="AR126" s="7" t="s">
        <v>30</v>
      </c>
      <c r="AS126">
        <v>13</v>
      </c>
      <c r="AT126">
        <v>60</v>
      </c>
      <c r="AU126">
        <v>1443</v>
      </c>
      <c r="AV126"/>
      <c r="AW126" s="344" t="s">
        <v>272</v>
      </c>
      <c r="AX126" s="142" t="b">
        <f t="shared" si="40"/>
        <v>1</v>
      </c>
    </row>
    <row r="127" spans="40:50" ht="12.75" customHeight="1">
      <c r="AN127" s="142" t="s">
        <v>533</v>
      </c>
      <c r="AO127" s="7" t="s">
        <v>286</v>
      </c>
      <c r="AP127" s="7" t="s">
        <v>537</v>
      </c>
      <c r="AQ127" s="7" t="s">
        <v>273</v>
      </c>
      <c r="AR127" s="7" t="s">
        <v>31</v>
      </c>
      <c r="AS127">
        <v>29</v>
      </c>
      <c r="AT127">
        <v>153</v>
      </c>
      <c r="AU127">
        <v>1374</v>
      </c>
      <c r="AV127"/>
      <c r="AW127" s="344" t="s">
        <v>273</v>
      </c>
      <c r="AX127" s="142" t="b">
        <f t="shared" si="40"/>
        <v>1</v>
      </c>
    </row>
    <row r="128" spans="40:50" ht="12.75" customHeight="1">
      <c r="AN128" s="142" t="s">
        <v>533</v>
      </c>
      <c r="AO128" s="7" t="s">
        <v>286</v>
      </c>
      <c r="AP128" s="7" t="s">
        <v>537</v>
      </c>
      <c r="AQ128" s="7" t="s">
        <v>274</v>
      </c>
      <c r="AR128" s="7" t="s">
        <v>32</v>
      </c>
      <c r="AS128">
        <v>24</v>
      </c>
      <c r="AT128">
        <v>121</v>
      </c>
      <c r="AU128">
        <v>1050</v>
      </c>
      <c r="AV128"/>
      <c r="AW128" s="344" t="s">
        <v>274</v>
      </c>
      <c r="AX128" s="142" t="b">
        <f t="shared" si="40"/>
        <v>1</v>
      </c>
    </row>
    <row r="129" spans="40:50" ht="12.75" customHeight="1">
      <c r="AN129" s="142" t="s">
        <v>533</v>
      </c>
      <c r="AO129" s="7" t="s">
        <v>286</v>
      </c>
      <c r="AP129" s="7" t="s">
        <v>537</v>
      </c>
      <c r="AQ129" s="7" t="s">
        <v>275</v>
      </c>
      <c r="AR129" s="7" t="s">
        <v>33</v>
      </c>
      <c r="AS129">
        <v>32</v>
      </c>
      <c r="AT129">
        <v>87</v>
      </c>
      <c r="AU129">
        <v>926</v>
      </c>
      <c r="AV129"/>
      <c r="AW129" s="344" t="s">
        <v>275</v>
      </c>
      <c r="AX129" s="142" t="b">
        <f t="shared" si="40"/>
        <v>1</v>
      </c>
    </row>
    <row r="130" spans="40:50" ht="12.75" customHeight="1">
      <c r="AN130" s="142" t="s">
        <v>533</v>
      </c>
      <c r="AO130" s="7" t="s">
        <v>286</v>
      </c>
      <c r="AP130" s="7" t="s">
        <v>537</v>
      </c>
      <c r="AQ130" s="7" t="s">
        <v>276</v>
      </c>
      <c r="AR130" s="7" t="s">
        <v>34</v>
      </c>
      <c r="AS130">
        <v>8</v>
      </c>
      <c r="AT130">
        <v>149</v>
      </c>
      <c r="AU130">
        <v>1416</v>
      </c>
      <c r="AV130"/>
      <c r="AW130" s="344" t="s">
        <v>276</v>
      </c>
      <c r="AX130" s="142" t="b">
        <f t="shared" si="40"/>
        <v>1</v>
      </c>
    </row>
    <row r="131" spans="40:50" ht="12.75" customHeight="1">
      <c r="AN131" s="142" t="s">
        <v>533</v>
      </c>
      <c r="AO131" s="7" t="s">
        <v>286</v>
      </c>
      <c r="AP131" s="7" t="s">
        <v>537</v>
      </c>
      <c r="AQ131" s="7" t="s">
        <v>277</v>
      </c>
      <c r="AR131" s="7" t="s">
        <v>35</v>
      </c>
      <c r="AS131">
        <v>57</v>
      </c>
      <c r="AT131">
        <v>475</v>
      </c>
      <c r="AU131">
        <v>1067</v>
      </c>
      <c r="AV131"/>
      <c r="AW131" s="344" t="s">
        <v>277</v>
      </c>
      <c r="AX131" s="142" t="b">
        <f t="shared" ref="AX131:AX194" si="41">AQ131=AW131</f>
        <v>1</v>
      </c>
    </row>
    <row r="132" spans="40:50" ht="12.75" customHeight="1">
      <c r="AN132" s="142" t="s">
        <v>533</v>
      </c>
      <c r="AO132" s="7" t="s">
        <v>286</v>
      </c>
      <c r="AP132" s="7" t="s">
        <v>537</v>
      </c>
      <c r="AQ132" s="7" t="s">
        <v>278</v>
      </c>
      <c r="AR132" s="7" t="s">
        <v>36</v>
      </c>
      <c r="AS132">
        <v>9</v>
      </c>
      <c r="AT132">
        <v>90</v>
      </c>
      <c r="AU132">
        <v>819</v>
      </c>
      <c r="AV132"/>
      <c r="AW132" s="344" t="s">
        <v>278</v>
      </c>
      <c r="AX132" s="142" t="b">
        <f t="shared" si="41"/>
        <v>1</v>
      </c>
    </row>
    <row r="133" spans="40:50" ht="12.75" customHeight="1">
      <c r="AN133" s="142" t="s">
        <v>533</v>
      </c>
      <c r="AO133" s="7" t="s">
        <v>286</v>
      </c>
      <c r="AP133" s="7" t="s">
        <v>537</v>
      </c>
      <c r="AQ133" s="7" t="s">
        <v>279</v>
      </c>
      <c r="AR133" s="7" t="s">
        <v>37</v>
      </c>
      <c r="AS133">
        <v>76</v>
      </c>
      <c r="AT133">
        <v>1783</v>
      </c>
      <c r="AU133">
        <v>1399</v>
      </c>
      <c r="AV133"/>
      <c r="AW133" s="344" t="s">
        <v>279</v>
      </c>
      <c r="AX133" s="142" t="b">
        <f t="shared" si="41"/>
        <v>1</v>
      </c>
    </row>
    <row r="134" spans="40:50" ht="12.75" customHeight="1">
      <c r="AN134" s="142" t="s">
        <v>533</v>
      </c>
      <c r="AO134" s="7" t="s">
        <v>286</v>
      </c>
      <c r="AP134" s="7" t="s">
        <v>537</v>
      </c>
      <c r="AQ134" s="7" t="s">
        <v>280</v>
      </c>
      <c r="AR134" s="7" t="s">
        <v>38</v>
      </c>
      <c r="AS134">
        <v>27</v>
      </c>
      <c r="AT134">
        <v>428</v>
      </c>
      <c r="AU134">
        <v>673</v>
      </c>
      <c r="AV134"/>
      <c r="AW134" s="344" t="s">
        <v>280</v>
      </c>
      <c r="AX134" s="142" t="b">
        <f t="shared" si="41"/>
        <v>1</v>
      </c>
    </row>
    <row r="135" spans="40:50" ht="12.75" customHeight="1">
      <c r="AN135" s="142" t="s">
        <v>533</v>
      </c>
      <c r="AO135" s="7" t="s">
        <v>286</v>
      </c>
      <c r="AP135" s="7" t="s">
        <v>537</v>
      </c>
      <c r="AQ135" s="7" t="s">
        <v>281</v>
      </c>
      <c r="AR135" s="7" t="s">
        <v>39</v>
      </c>
      <c r="AS135">
        <v>95</v>
      </c>
      <c r="AT135">
        <v>1778</v>
      </c>
      <c r="AU135">
        <v>630</v>
      </c>
      <c r="AV135"/>
      <c r="AW135" s="344" t="s">
        <v>281</v>
      </c>
      <c r="AX135" s="142" t="b">
        <f t="shared" si="41"/>
        <v>1</v>
      </c>
    </row>
    <row r="136" spans="40:50" ht="12.75" customHeight="1">
      <c r="AN136" s="142" t="s">
        <v>533</v>
      </c>
      <c r="AO136" s="7" t="s">
        <v>286</v>
      </c>
      <c r="AP136" s="7" t="s">
        <v>537</v>
      </c>
      <c r="AQ136" s="7" t="s">
        <v>282</v>
      </c>
      <c r="AR136" s="7" t="s">
        <v>40</v>
      </c>
      <c r="AS136">
        <v>54</v>
      </c>
      <c r="AT136">
        <v>168</v>
      </c>
      <c r="AU136">
        <v>810</v>
      </c>
      <c r="AV136"/>
      <c r="AW136" s="344" t="s">
        <v>282</v>
      </c>
      <c r="AX136" s="142" t="b">
        <f t="shared" si="41"/>
        <v>1</v>
      </c>
    </row>
    <row r="137" spans="40:50" ht="12.75" customHeight="1">
      <c r="AN137" s="142" t="s">
        <v>533</v>
      </c>
      <c r="AO137" s="7" t="s">
        <v>286</v>
      </c>
      <c r="AP137" s="7" t="s">
        <v>537</v>
      </c>
      <c r="AQ137" s="7" t="s">
        <v>283</v>
      </c>
      <c r="AR137" s="7" t="s">
        <v>41</v>
      </c>
      <c r="AS137" t="s">
        <v>586</v>
      </c>
      <c r="AT137" t="s">
        <v>586</v>
      </c>
      <c r="AU137" t="s">
        <v>586</v>
      </c>
      <c r="AV137"/>
      <c r="AW137" s="344" t="s">
        <v>283</v>
      </c>
      <c r="AX137" s="142" t="b">
        <f t="shared" si="41"/>
        <v>1</v>
      </c>
    </row>
    <row r="138" spans="40:50" ht="12.75" customHeight="1">
      <c r="AN138" s="142" t="s">
        <v>533</v>
      </c>
      <c r="AO138" s="7" t="s">
        <v>286</v>
      </c>
      <c r="AP138" s="7" t="s">
        <v>541</v>
      </c>
      <c r="AQ138" s="86" t="s">
        <v>536</v>
      </c>
      <c r="AR138" s="7" t="s">
        <v>44</v>
      </c>
      <c r="AS138">
        <v>134</v>
      </c>
      <c r="AT138">
        <v>2810</v>
      </c>
      <c r="AU138">
        <v>1005</v>
      </c>
      <c r="AV138"/>
      <c r="AW138" s="344" t="s">
        <v>536</v>
      </c>
      <c r="AX138" s="142" t="b">
        <f t="shared" si="41"/>
        <v>1</v>
      </c>
    </row>
    <row r="139" spans="40:50" ht="12.75" customHeight="1">
      <c r="AN139" s="142" t="s">
        <v>533</v>
      </c>
      <c r="AO139" s="7" t="s">
        <v>286</v>
      </c>
      <c r="AP139" s="7" t="s">
        <v>542</v>
      </c>
      <c r="AQ139" s="86" t="s">
        <v>536</v>
      </c>
      <c r="AR139" s="7" t="s">
        <v>45</v>
      </c>
      <c r="AS139">
        <v>19</v>
      </c>
      <c r="AT139">
        <v>344</v>
      </c>
      <c r="AU139">
        <v>1711</v>
      </c>
      <c r="AV139"/>
      <c r="AW139" s="344" t="s">
        <v>536</v>
      </c>
      <c r="AX139" s="142" t="b">
        <f t="shared" si="41"/>
        <v>1</v>
      </c>
    </row>
    <row r="140" spans="40:50" ht="12.75" customHeight="1">
      <c r="AN140" s="142" t="s">
        <v>533</v>
      </c>
      <c r="AO140" s="7" t="s">
        <v>286</v>
      </c>
      <c r="AP140" s="7" t="s">
        <v>543</v>
      </c>
      <c r="AQ140" s="86" t="s">
        <v>536</v>
      </c>
      <c r="AR140" s="7" t="s">
        <v>46</v>
      </c>
      <c r="AS140">
        <v>61</v>
      </c>
      <c r="AT140">
        <v>561</v>
      </c>
      <c r="AU140">
        <v>1257</v>
      </c>
      <c r="AV140"/>
      <c r="AW140" s="344" t="s">
        <v>536</v>
      </c>
      <c r="AX140" s="142" t="b">
        <f t="shared" si="41"/>
        <v>1</v>
      </c>
    </row>
    <row r="141" spans="40:50" ht="12.75" customHeight="1">
      <c r="AN141" s="142" t="s">
        <v>533</v>
      </c>
      <c r="AO141" s="7" t="s">
        <v>286</v>
      </c>
      <c r="AP141" s="7" t="s">
        <v>544</v>
      </c>
      <c r="AQ141" s="86" t="s">
        <v>536</v>
      </c>
      <c r="AR141" s="7" t="s">
        <v>47</v>
      </c>
      <c r="AS141">
        <v>54</v>
      </c>
      <c r="AT141">
        <v>1905</v>
      </c>
      <c r="AU141">
        <v>803</v>
      </c>
      <c r="AV141"/>
      <c r="AW141" s="344" t="s">
        <v>536</v>
      </c>
      <c r="AX141" s="142" t="b">
        <f t="shared" si="41"/>
        <v>1</v>
      </c>
    </row>
    <row r="142" spans="40:50" ht="12.75" customHeight="1">
      <c r="AN142" s="142" t="s">
        <v>97</v>
      </c>
      <c r="AO142" s="7" t="s">
        <v>287</v>
      </c>
      <c r="AP142" s="7" t="s">
        <v>535</v>
      </c>
      <c r="AQ142" s="86" t="s">
        <v>536</v>
      </c>
      <c r="AR142" s="7" t="s">
        <v>42</v>
      </c>
      <c r="AS142">
        <v>3090</v>
      </c>
      <c r="AT142">
        <v>54347</v>
      </c>
      <c r="AU142">
        <v>1382</v>
      </c>
      <c r="AV142"/>
      <c r="AW142" s="344" t="s">
        <v>536</v>
      </c>
      <c r="AX142" s="142" t="b">
        <f t="shared" si="41"/>
        <v>1</v>
      </c>
    </row>
    <row r="143" spans="40:50" ht="12.75" customHeight="1">
      <c r="AN143" s="142" t="s">
        <v>533</v>
      </c>
      <c r="AO143" s="7" t="s">
        <v>287</v>
      </c>
      <c r="AP143" s="7" t="s">
        <v>537</v>
      </c>
      <c r="AQ143" s="86" t="s">
        <v>536</v>
      </c>
      <c r="AR143" s="7" t="s">
        <v>43</v>
      </c>
      <c r="AS143">
        <v>2886</v>
      </c>
      <c r="AT143">
        <v>47744</v>
      </c>
      <c r="AU143">
        <v>1428</v>
      </c>
      <c r="AV143"/>
      <c r="AW143" s="344" t="s">
        <v>536</v>
      </c>
      <c r="AX143" s="142" t="b">
        <f t="shared" si="41"/>
        <v>1</v>
      </c>
    </row>
    <row r="144" spans="40:50" ht="12.75" customHeight="1">
      <c r="AN144" s="142" t="s">
        <v>533</v>
      </c>
      <c r="AO144" s="7" t="s">
        <v>287</v>
      </c>
      <c r="AP144" s="7" t="s">
        <v>537</v>
      </c>
      <c r="AQ144" s="7" t="s">
        <v>265</v>
      </c>
      <c r="AR144" s="7" t="s">
        <v>20</v>
      </c>
      <c r="AS144">
        <v>435</v>
      </c>
      <c r="AT144">
        <v>6547</v>
      </c>
      <c r="AU144">
        <v>1374</v>
      </c>
      <c r="AV144"/>
      <c r="AW144" s="344" t="s">
        <v>265</v>
      </c>
      <c r="AX144" s="142" t="b">
        <f t="shared" si="41"/>
        <v>1</v>
      </c>
    </row>
    <row r="145" spans="40:50" ht="12.75" customHeight="1">
      <c r="AN145" s="142" t="s">
        <v>533</v>
      </c>
      <c r="AO145" s="7" t="s">
        <v>287</v>
      </c>
      <c r="AP145" s="7" t="s">
        <v>537</v>
      </c>
      <c r="AQ145" s="7" t="s">
        <v>266</v>
      </c>
      <c r="AR145" s="7" t="s">
        <v>21</v>
      </c>
      <c r="AS145">
        <v>34</v>
      </c>
      <c r="AT145">
        <v>302</v>
      </c>
      <c r="AU145">
        <v>1542</v>
      </c>
      <c r="AV145"/>
      <c r="AW145" s="344" t="s">
        <v>266</v>
      </c>
      <c r="AX145" s="142" t="b">
        <f t="shared" si="41"/>
        <v>1</v>
      </c>
    </row>
    <row r="146" spans="40:50" ht="12.75" customHeight="1">
      <c r="AN146" s="142" t="s">
        <v>533</v>
      </c>
      <c r="AO146" s="7" t="s">
        <v>287</v>
      </c>
      <c r="AP146" s="7" t="s">
        <v>537</v>
      </c>
      <c r="AQ146" s="7" t="s">
        <v>267</v>
      </c>
      <c r="AR146" s="7" t="s">
        <v>22</v>
      </c>
      <c r="AS146">
        <v>4</v>
      </c>
      <c r="AT146">
        <v>30</v>
      </c>
      <c r="AU146">
        <v>1336</v>
      </c>
      <c r="AV146"/>
      <c r="AW146" s="344" t="s">
        <v>267</v>
      </c>
      <c r="AX146" s="142" t="b">
        <f t="shared" si="41"/>
        <v>1</v>
      </c>
    </row>
    <row r="147" spans="40:50" ht="12.75" customHeight="1">
      <c r="AN147" s="142" t="s">
        <v>533</v>
      </c>
      <c r="AO147" s="7" t="s">
        <v>287</v>
      </c>
      <c r="AP147" s="7" t="s">
        <v>537</v>
      </c>
      <c r="AQ147" s="7" t="s">
        <v>268</v>
      </c>
      <c r="AR147" s="7" t="s">
        <v>23</v>
      </c>
      <c r="AS147">
        <v>291</v>
      </c>
      <c r="AT147">
        <v>1590</v>
      </c>
      <c r="AU147">
        <v>1169</v>
      </c>
      <c r="AV147"/>
      <c r="AW147" s="344" t="s">
        <v>268</v>
      </c>
      <c r="AX147" s="142" t="b">
        <f t="shared" si="41"/>
        <v>1</v>
      </c>
    </row>
    <row r="148" spans="40:50" ht="12.75" customHeight="1">
      <c r="AN148" s="142" t="s">
        <v>533</v>
      </c>
      <c r="AO148" s="7" t="s">
        <v>287</v>
      </c>
      <c r="AP148" s="7" t="s">
        <v>537</v>
      </c>
      <c r="AQ148" s="7" t="s">
        <v>538</v>
      </c>
      <c r="AR148" s="7" t="s">
        <v>24</v>
      </c>
      <c r="AS148">
        <v>106</v>
      </c>
      <c r="AT148">
        <v>4624</v>
      </c>
      <c r="AU148">
        <v>1433</v>
      </c>
      <c r="AV148"/>
      <c r="AW148" s="344" t="s">
        <v>538</v>
      </c>
      <c r="AX148" s="142" t="b">
        <f t="shared" si="41"/>
        <v>1</v>
      </c>
    </row>
    <row r="149" spans="40:50" ht="12.75" customHeight="1">
      <c r="AN149" s="142" t="s">
        <v>533</v>
      </c>
      <c r="AO149" s="7" t="s">
        <v>287</v>
      </c>
      <c r="AP149" s="7" t="s">
        <v>537</v>
      </c>
      <c r="AQ149" s="7" t="s">
        <v>269</v>
      </c>
      <c r="AR149" s="7" t="s">
        <v>25</v>
      </c>
      <c r="AS149">
        <v>2451</v>
      </c>
      <c r="AT149">
        <v>41197</v>
      </c>
      <c r="AU149">
        <v>1436</v>
      </c>
      <c r="AV149"/>
      <c r="AW149" s="344" t="s">
        <v>269</v>
      </c>
      <c r="AX149" s="142" t="b">
        <f t="shared" si="41"/>
        <v>1</v>
      </c>
    </row>
    <row r="150" spans="40:50" ht="12.75" customHeight="1">
      <c r="AN150" s="142" t="s">
        <v>533</v>
      </c>
      <c r="AO150" s="7" t="s">
        <v>287</v>
      </c>
      <c r="AP150" s="7" t="s">
        <v>537</v>
      </c>
      <c r="AQ150" s="7" t="s">
        <v>270</v>
      </c>
      <c r="AR150" s="7" t="s">
        <v>26</v>
      </c>
      <c r="AS150">
        <v>8</v>
      </c>
      <c r="AT150">
        <v>111</v>
      </c>
      <c r="AU150">
        <v>2582</v>
      </c>
      <c r="AV150" s="339"/>
      <c r="AW150" s="344" t="s">
        <v>270</v>
      </c>
      <c r="AX150" s="142" t="b">
        <f t="shared" si="41"/>
        <v>1</v>
      </c>
    </row>
    <row r="151" spans="40:50" ht="12.75" customHeight="1">
      <c r="AN151" s="142" t="s">
        <v>533</v>
      </c>
      <c r="AO151" s="7" t="s">
        <v>287</v>
      </c>
      <c r="AP151" s="7" t="s">
        <v>537</v>
      </c>
      <c r="AQ151" s="7" t="s">
        <v>271</v>
      </c>
      <c r="AR151" s="7" t="s">
        <v>27</v>
      </c>
      <c r="AS151">
        <v>87</v>
      </c>
      <c r="AT151">
        <v>630</v>
      </c>
      <c r="AU151">
        <v>1599</v>
      </c>
      <c r="AV151"/>
      <c r="AW151" s="344" t="s">
        <v>271</v>
      </c>
      <c r="AX151" s="142" t="b">
        <f t="shared" si="41"/>
        <v>1</v>
      </c>
    </row>
    <row r="152" spans="40:50" ht="12.75" customHeight="1">
      <c r="AN152" s="142" t="s">
        <v>533</v>
      </c>
      <c r="AO152" s="7" t="s">
        <v>287</v>
      </c>
      <c r="AP152" s="7" t="s">
        <v>537</v>
      </c>
      <c r="AQ152" s="7" t="s">
        <v>539</v>
      </c>
      <c r="AR152" s="7" t="s">
        <v>28</v>
      </c>
      <c r="AS152">
        <v>431</v>
      </c>
      <c r="AT152">
        <v>6913</v>
      </c>
      <c r="AU152">
        <v>783</v>
      </c>
      <c r="AV152"/>
      <c r="AW152" s="344" t="s">
        <v>539</v>
      </c>
      <c r="AX152" s="142" t="b">
        <f t="shared" si="41"/>
        <v>1</v>
      </c>
    </row>
    <row r="153" spans="40:50" ht="12.75" customHeight="1">
      <c r="AN153" s="142" t="s">
        <v>533</v>
      </c>
      <c r="AO153" s="7" t="s">
        <v>287</v>
      </c>
      <c r="AP153" s="7" t="s">
        <v>537</v>
      </c>
      <c r="AQ153" s="7" t="s">
        <v>540</v>
      </c>
      <c r="AR153" s="7" t="s">
        <v>29</v>
      </c>
      <c r="AS153">
        <v>66</v>
      </c>
      <c r="AT153">
        <v>815</v>
      </c>
      <c r="AU153">
        <v>935</v>
      </c>
      <c r="AV153"/>
      <c r="AW153" s="344" t="s">
        <v>540</v>
      </c>
      <c r="AX153" s="142" t="b">
        <f t="shared" si="41"/>
        <v>1</v>
      </c>
    </row>
    <row r="154" spans="40:50" ht="12.75" customHeight="1">
      <c r="AN154" s="142" t="s">
        <v>533</v>
      </c>
      <c r="AO154" s="7" t="s">
        <v>287</v>
      </c>
      <c r="AP154" s="7" t="s">
        <v>537</v>
      </c>
      <c r="AQ154" s="7" t="s">
        <v>272</v>
      </c>
      <c r="AR154" s="7" t="s">
        <v>30</v>
      </c>
      <c r="AS154">
        <v>54</v>
      </c>
      <c r="AT154">
        <v>434</v>
      </c>
      <c r="AU154">
        <v>3279</v>
      </c>
      <c r="AV154"/>
      <c r="AW154" s="344" t="s">
        <v>272</v>
      </c>
      <c r="AX154" s="142" t="b">
        <f t="shared" si="41"/>
        <v>1</v>
      </c>
    </row>
    <row r="155" spans="40:50" ht="12.75" customHeight="1">
      <c r="AN155" s="142" t="s">
        <v>533</v>
      </c>
      <c r="AO155" s="7" t="s">
        <v>287</v>
      </c>
      <c r="AP155" s="7" t="s">
        <v>537</v>
      </c>
      <c r="AQ155" s="7" t="s">
        <v>273</v>
      </c>
      <c r="AR155" s="7" t="s">
        <v>31</v>
      </c>
      <c r="AS155">
        <v>134</v>
      </c>
      <c r="AT155">
        <v>908</v>
      </c>
      <c r="AU155">
        <v>2513</v>
      </c>
      <c r="AV155"/>
      <c r="AW155" s="344" t="s">
        <v>273</v>
      </c>
      <c r="AX155" s="142" t="b">
        <f t="shared" si="41"/>
        <v>1</v>
      </c>
    </row>
    <row r="156" spans="40:50" ht="12.75" customHeight="1">
      <c r="AN156" s="142" t="s">
        <v>533</v>
      </c>
      <c r="AO156" s="7" t="s">
        <v>287</v>
      </c>
      <c r="AP156" s="7" t="s">
        <v>537</v>
      </c>
      <c r="AQ156" s="7" t="s">
        <v>274</v>
      </c>
      <c r="AR156" s="7" t="s">
        <v>32</v>
      </c>
      <c r="AS156">
        <v>96</v>
      </c>
      <c r="AT156">
        <v>413</v>
      </c>
      <c r="AU156">
        <v>1040</v>
      </c>
      <c r="AV156"/>
      <c r="AW156" s="344" t="s">
        <v>274</v>
      </c>
      <c r="AX156" s="142" t="b">
        <f t="shared" si="41"/>
        <v>1</v>
      </c>
    </row>
    <row r="157" spans="40:50" ht="12.75" customHeight="1">
      <c r="AN157" s="142" t="s">
        <v>533</v>
      </c>
      <c r="AO157" s="7" t="s">
        <v>287</v>
      </c>
      <c r="AP157" s="7" t="s">
        <v>537</v>
      </c>
      <c r="AQ157" s="7" t="s">
        <v>275</v>
      </c>
      <c r="AR157" s="7" t="s">
        <v>33</v>
      </c>
      <c r="AS157">
        <v>262</v>
      </c>
      <c r="AT157">
        <v>2135</v>
      </c>
      <c r="AU157">
        <v>3035</v>
      </c>
      <c r="AV157"/>
      <c r="AW157" s="344" t="s">
        <v>275</v>
      </c>
      <c r="AX157" s="142" t="b">
        <f t="shared" si="41"/>
        <v>1</v>
      </c>
    </row>
    <row r="158" spans="40:50" ht="12.75" customHeight="1">
      <c r="AN158" s="142" t="s">
        <v>533</v>
      </c>
      <c r="AO158" s="7" t="s">
        <v>287</v>
      </c>
      <c r="AP158" s="7" t="s">
        <v>537</v>
      </c>
      <c r="AQ158" s="7" t="s">
        <v>276</v>
      </c>
      <c r="AR158" s="7" t="s">
        <v>34</v>
      </c>
      <c r="AS158" t="s">
        <v>586</v>
      </c>
      <c r="AT158" t="s">
        <v>586</v>
      </c>
      <c r="AU158" t="s">
        <v>586</v>
      </c>
      <c r="AV158" s="339"/>
      <c r="AW158" s="344" t="s">
        <v>276</v>
      </c>
      <c r="AX158" s="142" t="b">
        <f t="shared" si="41"/>
        <v>1</v>
      </c>
    </row>
    <row r="159" spans="40:50" ht="12.75" customHeight="1">
      <c r="AN159" s="142" t="s">
        <v>533</v>
      </c>
      <c r="AO159" s="7" t="s">
        <v>287</v>
      </c>
      <c r="AP159" s="7" t="s">
        <v>537</v>
      </c>
      <c r="AQ159" s="7" t="s">
        <v>277</v>
      </c>
      <c r="AR159" s="7" t="s">
        <v>35</v>
      </c>
      <c r="AS159">
        <v>190</v>
      </c>
      <c r="AT159">
        <v>1257</v>
      </c>
      <c r="AU159">
        <v>1219</v>
      </c>
      <c r="AV159"/>
      <c r="AW159" s="344" t="s">
        <v>277</v>
      </c>
      <c r="AX159" s="142" t="b">
        <f t="shared" si="41"/>
        <v>1</v>
      </c>
    </row>
    <row r="160" spans="40:50" ht="12.75" customHeight="1">
      <c r="AN160" s="142" t="s">
        <v>533</v>
      </c>
      <c r="AO160" s="7" t="s">
        <v>287</v>
      </c>
      <c r="AP160" s="7" t="s">
        <v>537</v>
      </c>
      <c r="AQ160" s="7" t="s">
        <v>278</v>
      </c>
      <c r="AR160" s="7" t="s">
        <v>36</v>
      </c>
      <c r="AS160" t="s">
        <v>586</v>
      </c>
      <c r="AT160" t="s">
        <v>586</v>
      </c>
      <c r="AU160" t="s">
        <v>586</v>
      </c>
      <c r="AV160" s="339"/>
      <c r="AW160" s="344" t="s">
        <v>278</v>
      </c>
      <c r="AX160" s="142" t="b">
        <f t="shared" si="41"/>
        <v>1</v>
      </c>
    </row>
    <row r="161" spans="40:50" ht="12.75" customHeight="1">
      <c r="AN161" s="142" t="s">
        <v>533</v>
      </c>
      <c r="AO161" s="7" t="s">
        <v>287</v>
      </c>
      <c r="AP161" s="7" t="s">
        <v>537</v>
      </c>
      <c r="AQ161" s="7" t="s">
        <v>279</v>
      </c>
      <c r="AR161" s="7" t="s">
        <v>37</v>
      </c>
      <c r="AS161">
        <v>294</v>
      </c>
      <c r="AT161">
        <v>13074</v>
      </c>
      <c r="AU161">
        <v>1685</v>
      </c>
      <c r="AV161"/>
      <c r="AW161" s="344" t="s">
        <v>279</v>
      </c>
      <c r="AX161" s="142" t="b">
        <f t="shared" si="41"/>
        <v>1</v>
      </c>
    </row>
    <row r="162" spans="40:50" ht="12.75" customHeight="1">
      <c r="AN162" s="142" t="s">
        <v>533</v>
      </c>
      <c r="AO162" s="7" t="s">
        <v>287</v>
      </c>
      <c r="AP162" s="7" t="s">
        <v>537</v>
      </c>
      <c r="AQ162" s="7" t="s">
        <v>280</v>
      </c>
      <c r="AR162" s="7" t="s">
        <v>38</v>
      </c>
      <c r="AS162">
        <v>70</v>
      </c>
      <c r="AT162">
        <v>1695</v>
      </c>
      <c r="AU162">
        <v>580</v>
      </c>
      <c r="AV162"/>
      <c r="AW162" s="344" t="s">
        <v>280</v>
      </c>
      <c r="AX162" s="142" t="b">
        <f t="shared" si="41"/>
        <v>1</v>
      </c>
    </row>
    <row r="163" spans="40:50" ht="12.75" customHeight="1">
      <c r="AN163" s="142" t="s">
        <v>533</v>
      </c>
      <c r="AO163" s="7" t="s">
        <v>287</v>
      </c>
      <c r="AP163" s="7" t="s">
        <v>537</v>
      </c>
      <c r="AQ163" s="7" t="s">
        <v>281</v>
      </c>
      <c r="AR163" s="7" t="s">
        <v>39</v>
      </c>
      <c r="AS163">
        <v>376</v>
      </c>
      <c r="AT163">
        <v>5207</v>
      </c>
      <c r="AU163">
        <v>638</v>
      </c>
      <c r="AV163"/>
      <c r="AW163" s="344" t="s">
        <v>281</v>
      </c>
      <c r="AX163" s="142" t="b">
        <f t="shared" si="41"/>
        <v>1</v>
      </c>
    </row>
    <row r="164" spans="40:50" ht="12.75" customHeight="1">
      <c r="AN164" s="142" t="s">
        <v>533</v>
      </c>
      <c r="AO164" s="7" t="s">
        <v>287</v>
      </c>
      <c r="AP164" s="7" t="s">
        <v>537</v>
      </c>
      <c r="AQ164" s="7" t="s">
        <v>282</v>
      </c>
      <c r="AR164" s="7" t="s">
        <v>40</v>
      </c>
      <c r="AS164">
        <v>280</v>
      </c>
      <c r="AT164">
        <v>972</v>
      </c>
      <c r="AU164">
        <v>855</v>
      </c>
      <c r="AV164"/>
      <c r="AW164" s="344" t="s">
        <v>282</v>
      </c>
      <c r="AX164" s="142" t="b">
        <f t="shared" si="41"/>
        <v>1</v>
      </c>
    </row>
    <row r="165" spans="40:50" ht="12.75" customHeight="1">
      <c r="AN165" s="142" t="s">
        <v>533</v>
      </c>
      <c r="AO165" s="7" t="s">
        <v>287</v>
      </c>
      <c r="AP165" s="7" t="s">
        <v>537</v>
      </c>
      <c r="AQ165" s="7" t="s">
        <v>283</v>
      </c>
      <c r="AR165" s="7" t="s">
        <v>41</v>
      </c>
      <c r="AS165">
        <v>14</v>
      </c>
      <c r="AT165">
        <v>55</v>
      </c>
      <c r="AU165">
        <v>467</v>
      </c>
      <c r="AV165"/>
      <c r="AW165" s="344" t="s">
        <v>283</v>
      </c>
      <c r="AX165" s="142" t="b">
        <f t="shared" si="41"/>
        <v>1</v>
      </c>
    </row>
    <row r="166" spans="40:50" ht="12.75" customHeight="1">
      <c r="AN166" s="142" t="s">
        <v>533</v>
      </c>
      <c r="AO166" s="7" t="s">
        <v>287</v>
      </c>
      <c r="AP166" s="7" t="s">
        <v>541</v>
      </c>
      <c r="AQ166" s="86" t="s">
        <v>536</v>
      </c>
      <c r="AR166" s="7" t="s">
        <v>44</v>
      </c>
      <c r="AS166">
        <v>204</v>
      </c>
      <c r="AT166">
        <v>6603</v>
      </c>
      <c r="AU166">
        <v>1056</v>
      </c>
      <c r="AV166"/>
      <c r="AW166" s="344" t="s">
        <v>536</v>
      </c>
      <c r="AX166" s="142" t="b">
        <f t="shared" si="41"/>
        <v>1</v>
      </c>
    </row>
    <row r="167" spans="40:50" ht="12.75" customHeight="1">
      <c r="AN167" s="142" t="s">
        <v>533</v>
      </c>
      <c r="AO167" s="7" t="s">
        <v>287</v>
      </c>
      <c r="AP167" s="7" t="s">
        <v>542</v>
      </c>
      <c r="AQ167" s="86" t="s">
        <v>536</v>
      </c>
      <c r="AR167" s="7" t="s">
        <v>45</v>
      </c>
      <c r="AS167">
        <v>41</v>
      </c>
      <c r="AT167">
        <v>560</v>
      </c>
      <c r="AU167">
        <v>1564</v>
      </c>
      <c r="AV167"/>
      <c r="AW167" s="344" t="s">
        <v>536</v>
      </c>
      <c r="AX167" s="142" t="b">
        <f t="shared" si="41"/>
        <v>1</v>
      </c>
    </row>
    <row r="168" spans="40:50" ht="12.75" customHeight="1">
      <c r="AN168" s="142" t="s">
        <v>533</v>
      </c>
      <c r="AO168" s="7" t="s">
        <v>287</v>
      </c>
      <c r="AP168" s="7" t="s">
        <v>543</v>
      </c>
      <c r="AQ168" s="86" t="s">
        <v>536</v>
      </c>
      <c r="AR168" s="7" t="s">
        <v>46</v>
      </c>
      <c r="AS168">
        <v>58</v>
      </c>
      <c r="AT168">
        <v>1314</v>
      </c>
      <c r="AU168">
        <v>943</v>
      </c>
      <c r="AV168"/>
      <c r="AW168" s="344" t="s">
        <v>536</v>
      </c>
      <c r="AX168" s="142" t="b">
        <f t="shared" si="41"/>
        <v>1</v>
      </c>
    </row>
    <row r="169" spans="40:50" ht="12.75" customHeight="1">
      <c r="AN169" s="142" t="s">
        <v>533</v>
      </c>
      <c r="AO169" s="7" t="s">
        <v>287</v>
      </c>
      <c r="AP169" s="7" t="s">
        <v>544</v>
      </c>
      <c r="AQ169" s="86" t="s">
        <v>536</v>
      </c>
      <c r="AR169" s="7" t="s">
        <v>47</v>
      </c>
      <c r="AS169">
        <v>105</v>
      </c>
      <c r="AT169">
        <v>4729</v>
      </c>
      <c r="AU169">
        <v>1027</v>
      </c>
      <c r="AV169"/>
      <c r="AW169" s="344" t="s">
        <v>536</v>
      </c>
      <c r="AX169" s="142" t="b">
        <f t="shared" si="41"/>
        <v>1</v>
      </c>
    </row>
    <row r="170" spans="40:50" ht="12.75" customHeight="1">
      <c r="AN170" s="142" t="s">
        <v>98</v>
      </c>
      <c r="AO170" s="7" t="s">
        <v>288</v>
      </c>
      <c r="AP170" s="7" t="s">
        <v>535</v>
      </c>
      <c r="AQ170" s="86" t="s">
        <v>536</v>
      </c>
      <c r="AR170" s="7" t="s">
        <v>42</v>
      </c>
      <c r="AS170">
        <v>11454</v>
      </c>
      <c r="AT170">
        <v>200203</v>
      </c>
      <c r="AU170">
        <v>1560</v>
      </c>
      <c r="AV170"/>
      <c r="AW170" s="344" t="s">
        <v>536</v>
      </c>
      <c r="AX170" s="142" t="b">
        <f t="shared" si="41"/>
        <v>1</v>
      </c>
    </row>
    <row r="171" spans="40:50" ht="12.75" customHeight="1">
      <c r="AN171" s="142" t="s">
        <v>533</v>
      </c>
      <c r="AO171" s="7" t="s">
        <v>288</v>
      </c>
      <c r="AP171" s="7" t="s">
        <v>537</v>
      </c>
      <c r="AQ171" s="86" t="s">
        <v>536</v>
      </c>
      <c r="AR171" s="7" t="s">
        <v>43</v>
      </c>
      <c r="AS171">
        <v>11185</v>
      </c>
      <c r="AT171">
        <v>178180</v>
      </c>
      <c r="AU171">
        <v>1588</v>
      </c>
      <c r="AV171"/>
      <c r="AW171" s="344" t="s">
        <v>536</v>
      </c>
      <c r="AX171" s="142" t="b">
        <f t="shared" si="41"/>
        <v>1</v>
      </c>
    </row>
    <row r="172" spans="40:50" ht="12.75" customHeight="1">
      <c r="AN172" s="142" t="s">
        <v>533</v>
      </c>
      <c r="AO172" s="7" t="s">
        <v>288</v>
      </c>
      <c r="AP172" s="7" t="s">
        <v>537</v>
      </c>
      <c r="AQ172" s="7" t="s">
        <v>265</v>
      </c>
      <c r="AR172" s="7" t="s">
        <v>20</v>
      </c>
      <c r="AS172">
        <v>1821</v>
      </c>
      <c r="AT172">
        <v>34395</v>
      </c>
      <c r="AU172">
        <v>2213</v>
      </c>
      <c r="AV172"/>
      <c r="AW172" s="344" t="s">
        <v>265</v>
      </c>
      <c r="AX172" s="142" t="b">
        <f t="shared" si="41"/>
        <v>1</v>
      </c>
    </row>
    <row r="173" spans="40:50" ht="12.75" customHeight="1">
      <c r="AN173" s="142" t="s">
        <v>533</v>
      </c>
      <c r="AO173" s="7" t="s">
        <v>288</v>
      </c>
      <c r="AP173" s="7" t="s">
        <v>537</v>
      </c>
      <c r="AQ173" s="7" t="s">
        <v>266</v>
      </c>
      <c r="AR173" s="7" t="s">
        <v>21</v>
      </c>
      <c r="AS173">
        <v>32</v>
      </c>
      <c r="AT173">
        <v>178</v>
      </c>
      <c r="AU173">
        <v>924</v>
      </c>
      <c r="AV173"/>
      <c r="AW173" s="344" t="s">
        <v>266</v>
      </c>
      <c r="AX173" s="142" t="b">
        <f t="shared" si="41"/>
        <v>1</v>
      </c>
    </row>
    <row r="174" spans="40:50" ht="12.75" customHeight="1">
      <c r="AN174" s="142" t="s">
        <v>533</v>
      </c>
      <c r="AO174" s="7" t="s">
        <v>288</v>
      </c>
      <c r="AP174" s="7" t="s">
        <v>537</v>
      </c>
      <c r="AQ174" s="7" t="s">
        <v>267</v>
      </c>
      <c r="AR174" s="7" t="s">
        <v>22</v>
      </c>
      <c r="AS174">
        <v>7</v>
      </c>
      <c r="AT174">
        <v>51</v>
      </c>
      <c r="AU174">
        <v>1443</v>
      </c>
      <c r="AV174"/>
      <c r="AW174" s="344" t="s">
        <v>267</v>
      </c>
      <c r="AX174" s="142" t="b">
        <f t="shared" si="41"/>
        <v>1</v>
      </c>
    </row>
    <row r="175" spans="40:50" ht="12.75" customHeight="1">
      <c r="AN175" s="142" t="s">
        <v>533</v>
      </c>
      <c r="AO175" s="7" t="s">
        <v>288</v>
      </c>
      <c r="AP175" s="7" t="s">
        <v>537</v>
      </c>
      <c r="AQ175" s="7" t="s">
        <v>268</v>
      </c>
      <c r="AR175" s="7" t="s">
        <v>23</v>
      </c>
      <c r="AS175">
        <v>1227</v>
      </c>
      <c r="AT175">
        <v>8796</v>
      </c>
      <c r="AU175">
        <v>1553</v>
      </c>
      <c r="AV175"/>
      <c r="AW175" s="344" t="s">
        <v>268</v>
      </c>
      <c r="AX175" s="142" t="b">
        <f t="shared" si="41"/>
        <v>1</v>
      </c>
    </row>
    <row r="176" spans="40:50" ht="12.75" customHeight="1">
      <c r="AN176" s="142" t="s">
        <v>533</v>
      </c>
      <c r="AO176" s="7" t="s">
        <v>288</v>
      </c>
      <c r="AP176" s="7" t="s">
        <v>537</v>
      </c>
      <c r="AQ176" s="7" t="s">
        <v>538</v>
      </c>
      <c r="AR176" s="7" t="s">
        <v>24</v>
      </c>
      <c r="AS176">
        <v>555</v>
      </c>
      <c r="AT176">
        <v>25370</v>
      </c>
      <c r="AU176">
        <v>2452</v>
      </c>
      <c r="AV176"/>
      <c r="AW176" s="344" t="s">
        <v>538</v>
      </c>
      <c r="AX176" s="142" t="b">
        <f t="shared" si="41"/>
        <v>1</v>
      </c>
    </row>
    <row r="177" spans="40:50" ht="12.75" customHeight="1">
      <c r="AN177" s="142" t="s">
        <v>533</v>
      </c>
      <c r="AO177" s="7" t="s">
        <v>288</v>
      </c>
      <c r="AP177" s="7" t="s">
        <v>537</v>
      </c>
      <c r="AQ177" s="7" t="s">
        <v>269</v>
      </c>
      <c r="AR177" s="7" t="s">
        <v>25</v>
      </c>
      <c r="AS177">
        <v>9364</v>
      </c>
      <c r="AT177">
        <v>143784</v>
      </c>
      <c r="AU177">
        <v>1438</v>
      </c>
      <c r="AV177"/>
      <c r="AW177" s="344" t="s">
        <v>269</v>
      </c>
      <c r="AX177" s="142" t="b">
        <f t="shared" si="41"/>
        <v>1</v>
      </c>
    </row>
    <row r="178" spans="40:50" ht="12.75" customHeight="1">
      <c r="AN178" s="142" t="s">
        <v>533</v>
      </c>
      <c r="AO178" s="7" t="s">
        <v>288</v>
      </c>
      <c r="AP178" s="7" t="s">
        <v>537</v>
      </c>
      <c r="AQ178" s="7" t="s">
        <v>270</v>
      </c>
      <c r="AR178" s="7" t="s">
        <v>26</v>
      </c>
      <c r="AS178">
        <v>14</v>
      </c>
      <c r="AT178">
        <v>375</v>
      </c>
      <c r="AU178">
        <v>2725</v>
      </c>
      <c r="AV178"/>
      <c r="AW178" s="344" t="s">
        <v>270</v>
      </c>
      <c r="AX178" s="142" t="b">
        <f t="shared" si="41"/>
        <v>1</v>
      </c>
    </row>
    <row r="179" spans="40:50" ht="12.75" customHeight="1">
      <c r="AN179" s="142" t="s">
        <v>533</v>
      </c>
      <c r="AO179" s="7" t="s">
        <v>288</v>
      </c>
      <c r="AP179" s="7" t="s">
        <v>537</v>
      </c>
      <c r="AQ179" s="7" t="s">
        <v>271</v>
      </c>
      <c r="AR179" s="7" t="s">
        <v>27</v>
      </c>
      <c r="AS179">
        <v>686</v>
      </c>
      <c r="AT179">
        <v>6471</v>
      </c>
      <c r="AU179">
        <v>2371</v>
      </c>
      <c r="AV179"/>
      <c r="AW179" s="344" t="s">
        <v>271</v>
      </c>
      <c r="AX179" s="142" t="b">
        <f t="shared" si="41"/>
        <v>1</v>
      </c>
    </row>
    <row r="180" spans="40:50" ht="12.75" customHeight="1">
      <c r="AN180" s="142" t="s">
        <v>533</v>
      </c>
      <c r="AO180" s="7" t="s">
        <v>288</v>
      </c>
      <c r="AP180" s="7" t="s">
        <v>537</v>
      </c>
      <c r="AQ180" s="7" t="s">
        <v>539</v>
      </c>
      <c r="AR180" s="7" t="s">
        <v>28</v>
      </c>
      <c r="AS180">
        <v>1405</v>
      </c>
      <c r="AT180">
        <v>24791</v>
      </c>
      <c r="AU180">
        <v>880</v>
      </c>
      <c r="AV180"/>
      <c r="AW180" s="344" t="s">
        <v>539</v>
      </c>
      <c r="AX180" s="142" t="b">
        <f t="shared" si="41"/>
        <v>1</v>
      </c>
    </row>
    <row r="181" spans="40:50" ht="12.75" customHeight="1">
      <c r="AN181" s="142" t="s">
        <v>533</v>
      </c>
      <c r="AO181" s="7" t="s">
        <v>288</v>
      </c>
      <c r="AP181" s="7" t="s">
        <v>537</v>
      </c>
      <c r="AQ181" s="7" t="s">
        <v>540</v>
      </c>
      <c r="AR181" s="7" t="s">
        <v>29</v>
      </c>
      <c r="AS181">
        <v>224</v>
      </c>
      <c r="AT181">
        <v>4293</v>
      </c>
      <c r="AU181">
        <v>1031</v>
      </c>
      <c r="AV181"/>
      <c r="AW181" s="344" t="s">
        <v>540</v>
      </c>
      <c r="AX181" s="142" t="b">
        <f t="shared" si="41"/>
        <v>1</v>
      </c>
    </row>
    <row r="182" spans="40:50" ht="12.75" customHeight="1">
      <c r="AN182" s="142" t="s">
        <v>533</v>
      </c>
      <c r="AO182" s="7" t="s">
        <v>288</v>
      </c>
      <c r="AP182" s="7" t="s">
        <v>537</v>
      </c>
      <c r="AQ182" s="7" t="s">
        <v>272</v>
      </c>
      <c r="AR182" s="7" t="s">
        <v>30</v>
      </c>
      <c r="AS182">
        <v>211</v>
      </c>
      <c r="AT182">
        <v>5098</v>
      </c>
      <c r="AU182">
        <v>2682</v>
      </c>
      <c r="AV182"/>
      <c r="AW182" s="344" t="s">
        <v>272</v>
      </c>
      <c r="AX182" s="142" t="b">
        <f t="shared" si="41"/>
        <v>1</v>
      </c>
    </row>
    <row r="183" spans="40:50" ht="12.75" customHeight="1">
      <c r="AN183" s="142" t="s">
        <v>533</v>
      </c>
      <c r="AO183" s="7" t="s">
        <v>288</v>
      </c>
      <c r="AP183" s="7" t="s">
        <v>537</v>
      </c>
      <c r="AQ183" s="7" t="s">
        <v>273</v>
      </c>
      <c r="AR183" s="7" t="s">
        <v>31</v>
      </c>
      <c r="AS183">
        <v>581</v>
      </c>
      <c r="AT183">
        <v>9141</v>
      </c>
      <c r="AU183">
        <v>2857</v>
      </c>
      <c r="AV183"/>
      <c r="AW183" s="344" t="s">
        <v>273</v>
      </c>
      <c r="AX183" s="142" t="b">
        <f t="shared" si="41"/>
        <v>1</v>
      </c>
    </row>
    <row r="184" spans="40:50" ht="12.75" customHeight="1">
      <c r="AN184" s="142" t="s">
        <v>533</v>
      </c>
      <c r="AO184" s="7" t="s">
        <v>288</v>
      </c>
      <c r="AP184" s="7" t="s">
        <v>537</v>
      </c>
      <c r="AQ184" s="7" t="s">
        <v>274</v>
      </c>
      <c r="AR184" s="7" t="s">
        <v>32</v>
      </c>
      <c r="AS184">
        <v>340</v>
      </c>
      <c r="AT184">
        <v>2264</v>
      </c>
      <c r="AU184">
        <v>1407</v>
      </c>
      <c r="AV184"/>
      <c r="AW184" s="344" t="s">
        <v>274</v>
      </c>
      <c r="AX184" s="142" t="b">
        <f t="shared" si="41"/>
        <v>1</v>
      </c>
    </row>
    <row r="185" spans="40:50" ht="12.75" customHeight="1">
      <c r="AN185" s="142" t="s">
        <v>533</v>
      </c>
      <c r="AO185" s="7" t="s">
        <v>288</v>
      </c>
      <c r="AP185" s="7" t="s">
        <v>537</v>
      </c>
      <c r="AQ185" s="7" t="s">
        <v>275</v>
      </c>
      <c r="AR185" s="7" t="s">
        <v>33</v>
      </c>
      <c r="AS185">
        <v>1390</v>
      </c>
      <c r="AT185">
        <v>14457</v>
      </c>
      <c r="AU185">
        <v>2453</v>
      </c>
      <c r="AV185"/>
      <c r="AW185" s="344" t="s">
        <v>275</v>
      </c>
      <c r="AX185" s="142" t="b">
        <f t="shared" si="41"/>
        <v>1</v>
      </c>
    </row>
    <row r="186" spans="40:50" ht="12.75" customHeight="1">
      <c r="AN186" s="142" t="s">
        <v>533</v>
      </c>
      <c r="AO186" s="7" t="s">
        <v>288</v>
      </c>
      <c r="AP186" s="7" t="s">
        <v>537</v>
      </c>
      <c r="AQ186" s="7" t="s">
        <v>276</v>
      </c>
      <c r="AR186" s="7" t="s">
        <v>34</v>
      </c>
      <c r="AS186">
        <v>122</v>
      </c>
      <c r="AT186">
        <v>3701</v>
      </c>
      <c r="AU186">
        <v>2214</v>
      </c>
      <c r="AV186"/>
      <c r="AW186" s="344" t="s">
        <v>276</v>
      </c>
      <c r="AX186" s="142" t="b">
        <f t="shared" si="41"/>
        <v>1</v>
      </c>
    </row>
    <row r="187" spans="40:50" ht="12.75" customHeight="1">
      <c r="AN187" s="142" t="s">
        <v>533</v>
      </c>
      <c r="AO187" s="7" t="s">
        <v>288</v>
      </c>
      <c r="AP187" s="7" t="s">
        <v>537</v>
      </c>
      <c r="AQ187" s="7" t="s">
        <v>277</v>
      </c>
      <c r="AR187" s="7" t="s">
        <v>35</v>
      </c>
      <c r="AS187">
        <v>828</v>
      </c>
      <c r="AT187">
        <v>10408</v>
      </c>
      <c r="AU187">
        <v>1166</v>
      </c>
      <c r="AV187"/>
      <c r="AW187" s="344" t="s">
        <v>277</v>
      </c>
      <c r="AX187" s="142" t="b">
        <f t="shared" si="41"/>
        <v>1</v>
      </c>
    </row>
    <row r="188" spans="40:50" ht="12.75" customHeight="1">
      <c r="AN188" s="142" t="s">
        <v>533</v>
      </c>
      <c r="AO188" s="7" t="s">
        <v>288</v>
      </c>
      <c r="AP188" s="7" t="s">
        <v>537</v>
      </c>
      <c r="AQ188" s="7" t="s">
        <v>278</v>
      </c>
      <c r="AR188" s="7" t="s">
        <v>36</v>
      </c>
      <c r="AS188">
        <v>199</v>
      </c>
      <c r="AT188">
        <v>5859</v>
      </c>
      <c r="AU188">
        <v>1194</v>
      </c>
      <c r="AV188"/>
      <c r="AW188" s="344" t="s">
        <v>278</v>
      </c>
      <c r="AX188" s="142" t="b">
        <f t="shared" si="41"/>
        <v>1</v>
      </c>
    </row>
    <row r="189" spans="40:50" ht="12.75" customHeight="1">
      <c r="AN189" s="142" t="s">
        <v>533</v>
      </c>
      <c r="AO189" s="7" t="s">
        <v>288</v>
      </c>
      <c r="AP189" s="7" t="s">
        <v>537</v>
      </c>
      <c r="AQ189" s="7" t="s">
        <v>279</v>
      </c>
      <c r="AR189" s="7" t="s">
        <v>37</v>
      </c>
      <c r="AS189">
        <v>1212</v>
      </c>
      <c r="AT189">
        <v>31100</v>
      </c>
      <c r="AU189">
        <v>1338</v>
      </c>
      <c r="AV189"/>
      <c r="AW189" s="344" t="s">
        <v>279</v>
      </c>
      <c r="AX189" s="142" t="b">
        <f t="shared" si="41"/>
        <v>1</v>
      </c>
    </row>
    <row r="190" spans="40:50" ht="12.75" customHeight="1">
      <c r="AN190" s="142" t="s">
        <v>533</v>
      </c>
      <c r="AO190" s="7" t="s">
        <v>288</v>
      </c>
      <c r="AP190" s="7" t="s">
        <v>537</v>
      </c>
      <c r="AQ190" s="7" t="s">
        <v>280</v>
      </c>
      <c r="AR190" s="7" t="s">
        <v>38</v>
      </c>
      <c r="AS190">
        <v>199</v>
      </c>
      <c r="AT190">
        <v>3434</v>
      </c>
      <c r="AU190">
        <v>519</v>
      </c>
      <c r="AV190"/>
      <c r="AW190" s="344" t="s">
        <v>280</v>
      </c>
      <c r="AX190" s="142" t="b">
        <f t="shared" si="41"/>
        <v>1</v>
      </c>
    </row>
    <row r="191" spans="40:50" ht="12.75" customHeight="1">
      <c r="AN191" s="142" t="s">
        <v>533</v>
      </c>
      <c r="AO191" s="7" t="s">
        <v>288</v>
      </c>
      <c r="AP191" s="7" t="s">
        <v>537</v>
      </c>
      <c r="AQ191" s="7" t="s">
        <v>281</v>
      </c>
      <c r="AR191" s="7" t="s">
        <v>39</v>
      </c>
      <c r="AS191">
        <v>887</v>
      </c>
      <c r="AT191">
        <v>15332</v>
      </c>
      <c r="AU191">
        <v>559</v>
      </c>
      <c r="AV191"/>
      <c r="AW191" s="344" t="s">
        <v>281</v>
      </c>
      <c r="AX191" s="142" t="b">
        <f t="shared" si="41"/>
        <v>1</v>
      </c>
    </row>
    <row r="192" spans="40:50" ht="12.75" customHeight="1">
      <c r="AN192" s="142" t="s">
        <v>533</v>
      </c>
      <c r="AO192" s="7" t="s">
        <v>288</v>
      </c>
      <c r="AP192" s="7" t="s">
        <v>537</v>
      </c>
      <c r="AQ192" s="7" t="s">
        <v>282</v>
      </c>
      <c r="AR192" s="7" t="s">
        <v>40</v>
      </c>
      <c r="AS192">
        <v>1005</v>
      </c>
      <c r="AT192">
        <v>6890</v>
      </c>
      <c r="AU192">
        <v>918</v>
      </c>
      <c r="AV192"/>
      <c r="AW192" s="344" t="s">
        <v>282</v>
      </c>
      <c r="AX192" s="142" t="b">
        <f t="shared" si="41"/>
        <v>1</v>
      </c>
    </row>
    <row r="193" spans="40:50" ht="12.75" customHeight="1">
      <c r="AN193" s="142" t="s">
        <v>533</v>
      </c>
      <c r="AO193" s="7" t="s">
        <v>288</v>
      </c>
      <c r="AP193" s="7" t="s">
        <v>537</v>
      </c>
      <c r="AQ193" s="7" t="s">
        <v>283</v>
      </c>
      <c r="AR193" s="7" t="s">
        <v>41</v>
      </c>
      <c r="AS193">
        <v>61</v>
      </c>
      <c r="AT193">
        <v>171</v>
      </c>
      <c r="AU193">
        <v>1014</v>
      </c>
      <c r="AV193"/>
      <c r="AW193" s="344" t="s">
        <v>283</v>
      </c>
      <c r="AX193" s="142" t="b">
        <f t="shared" si="41"/>
        <v>1</v>
      </c>
    </row>
    <row r="194" spans="40:50" ht="12.75" customHeight="1">
      <c r="AN194" s="142" t="s">
        <v>533</v>
      </c>
      <c r="AO194" s="7" t="s">
        <v>288</v>
      </c>
      <c r="AP194" s="7" t="s">
        <v>541</v>
      </c>
      <c r="AQ194" s="86" t="s">
        <v>536</v>
      </c>
      <c r="AR194" s="7" t="s">
        <v>44</v>
      </c>
      <c r="AS194">
        <v>269</v>
      </c>
      <c r="AT194">
        <v>22024</v>
      </c>
      <c r="AU194">
        <v>1334</v>
      </c>
      <c r="AV194"/>
      <c r="AW194" s="344" t="s">
        <v>536</v>
      </c>
      <c r="AX194" s="142" t="b">
        <f t="shared" si="41"/>
        <v>1</v>
      </c>
    </row>
    <row r="195" spans="40:50" ht="12.75" customHeight="1">
      <c r="AN195" s="142" t="s">
        <v>533</v>
      </c>
      <c r="AO195" s="7" t="s">
        <v>288</v>
      </c>
      <c r="AP195" s="7" t="s">
        <v>542</v>
      </c>
      <c r="AQ195" s="86" t="s">
        <v>536</v>
      </c>
      <c r="AR195" s="7" t="s">
        <v>45</v>
      </c>
      <c r="AS195">
        <v>65</v>
      </c>
      <c r="AT195">
        <v>4627</v>
      </c>
      <c r="AU195">
        <v>2078</v>
      </c>
      <c r="AV195"/>
      <c r="AW195" s="344" t="s">
        <v>536</v>
      </c>
      <c r="AX195" s="142" t="b">
        <f t="shared" ref="AX195:AX258" si="42">AQ195=AW195</f>
        <v>1</v>
      </c>
    </row>
    <row r="196" spans="40:50" ht="12.75" customHeight="1">
      <c r="AN196" s="142" t="s">
        <v>533</v>
      </c>
      <c r="AO196" s="7" t="s">
        <v>288</v>
      </c>
      <c r="AP196" s="7" t="s">
        <v>543</v>
      </c>
      <c r="AQ196" s="86" t="s">
        <v>536</v>
      </c>
      <c r="AR196" s="7" t="s">
        <v>46</v>
      </c>
      <c r="AS196">
        <v>90</v>
      </c>
      <c r="AT196">
        <v>1849</v>
      </c>
      <c r="AU196">
        <v>980</v>
      </c>
      <c r="AV196"/>
      <c r="AW196" s="344" t="s">
        <v>536</v>
      </c>
      <c r="AX196" s="142" t="b">
        <f t="shared" si="42"/>
        <v>1</v>
      </c>
    </row>
    <row r="197" spans="40:50" ht="12.75" customHeight="1">
      <c r="AN197" s="142" t="s">
        <v>533</v>
      </c>
      <c r="AO197" s="7" t="s">
        <v>288</v>
      </c>
      <c r="AP197" s="7" t="s">
        <v>544</v>
      </c>
      <c r="AQ197" s="86" t="s">
        <v>536</v>
      </c>
      <c r="AR197" s="7" t="s">
        <v>47</v>
      </c>
      <c r="AS197">
        <v>114</v>
      </c>
      <c r="AT197">
        <v>15548</v>
      </c>
      <c r="AU197">
        <v>1155</v>
      </c>
      <c r="AV197"/>
      <c r="AW197" s="344" t="s">
        <v>536</v>
      </c>
      <c r="AX197" s="142" t="b">
        <f t="shared" si="42"/>
        <v>1</v>
      </c>
    </row>
    <row r="198" spans="40:50" ht="12.75" customHeight="1">
      <c r="AN198" s="142" t="s">
        <v>99</v>
      </c>
      <c r="AO198" s="7" t="s">
        <v>289</v>
      </c>
      <c r="AP198" s="7" t="s">
        <v>535</v>
      </c>
      <c r="AQ198" s="86" t="s">
        <v>536</v>
      </c>
      <c r="AR198" s="7" t="s">
        <v>42</v>
      </c>
      <c r="AS198">
        <v>4742</v>
      </c>
      <c r="AT198">
        <v>76896</v>
      </c>
      <c r="AU198">
        <v>1283</v>
      </c>
      <c r="AV198"/>
      <c r="AW198" s="344" t="s">
        <v>536</v>
      </c>
      <c r="AX198" s="142" t="b">
        <f t="shared" si="42"/>
        <v>1</v>
      </c>
    </row>
    <row r="199" spans="40:50" ht="12.75" customHeight="1">
      <c r="AN199" s="142" t="s">
        <v>533</v>
      </c>
      <c r="AO199" s="7" t="s">
        <v>289</v>
      </c>
      <c r="AP199" s="7" t="s">
        <v>537</v>
      </c>
      <c r="AQ199" s="86" t="s">
        <v>536</v>
      </c>
      <c r="AR199" s="7" t="s">
        <v>43</v>
      </c>
      <c r="AS199">
        <v>4231</v>
      </c>
      <c r="AT199">
        <v>60807</v>
      </c>
      <c r="AU199">
        <v>1293</v>
      </c>
      <c r="AV199"/>
      <c r="AW199" s="344" t="s">
        <v>536</v>
      </c>
      <c r="AX199" s="142" t="b">
        <f t="shared" si="42"/>
        <v>1</v>
      </c>
    </row>
    <row r="200" spans="40:50" ht="12.75" customHeight="1">
      <c r="AN200" s="142" t="s">
        <v>533</v>
      </c>
      <c r="AO200" s="7" t="s">
        <v>289</v>
      </c>
      <c r="AP200" s="7" t="s">
        <v>537</v>
      </c>
      <c r="AQ200" s="7" t="s">
        <v>265</v>
      </c>
      <c r="AR200" s="7" t="s">
        <v>20</v>
      </c>
      <c r="AS200">
        <v>730</v>
      </c>
      <c r="AT200">
        <v>9973</v>
      </c>
      <c r="AU200">
        <v>1472</v>
      </c>
      <c r="AV200"/>
      <c r="AW200" s="344" t="s">
        <v>265</v>
      </c>
      <c r="AX200" s="142" t="b">
        <f t="shared" si="42"/>
        <v>1</v>
      </c>
    </row>
    <row r="201" spans="40:50" ht="12.75" customHeight="1">
      <c r="AN201" s="142" t="s">
        <v>533</v>
      </c>
      <c r="AO201" s="7" t="s">
        <v>289</v>
      </c>
      <c r="AP201" s="7" t="s">
        <v>537</v>
      </c>
      <c r="AQ201" s="7" t="s">
        <v>266</v>
      </c>
      <c r="AR201" s="7" t="s">
        <v>21</v>
      </c>
      <c r="AS201">
        <v>35</v>
      </c>
      <c r="AT201">
        <v>444</v>
      </c>
      <c r="AU201">
        <v>1109</v>
      </c>
      <c r="AV201"/>
      <c r="AW201" s="344" t="s">
        <v>266</v>
      </c>
      <c r="AX201" s="142" t="b">
        <f t="shared" si="42"/>
        <v>1</v>
      </c>
    </row>
    <row r="202" spans="40:50" ht="12.75" customHeight="1">
      <c r="AN202" s="142" t="s">
        <v>533</v>
      </c>
      <c r="AO202" s="7" t="s">
        <v>289</v>
      </c>
      <c r="AP202" s="7" t="s">
        <v>537</v>
      </c>
      <c r="AQ202" s="7" t="s">
        <v>267</v>
      </c>
      <c r="AR202" s="7" t="s">
        <v>22</v>
      </c>
      <c r="AS202">
        <v>17</v>
      </c>
      <c r="AT202">
        <v>199</v>
      </c>
      <c r="AU202">
        <v>1530</v>
      </c>
      <c r="AV202"/>
      <c r="AW202" s="344" t="s">
        <v>267</v>
      </c>
      <c r="AX202" s="142" t="b">
        <f t="shared" si="42"/>
        <v>1</v>
      </c>
    </row>
    <row r="203" spans="40:50" ht="12.75" customHeight="1">
      <c r="AN203" s="142" t="s">
        <v>533</v>
      </c>
      <c r="AO203" s="7" t="s">
        <v>289</v>
      </c>
      <c r="AP203" s="7" t="s">
        <v>537</v>
      </c>
      <c r="AQ203" s="7" t="s">
        <v>268</v>
      </c>
      <c r="AR203" s="7" t="s">
        <v>23</v>
      </c>
      <c r="AS203">
        <v>483</v>
      </c>
      <c r="AT203">
        <v>3593</v>
      </c>
      <c r="AU203">
        <v>1471</v>
      </c>
      <c r="AV203"/>
      <c r="AW203" s="344" t="s">
        <v>268</v>
      </c>
      <c r="AX203" s="142" t="b">
        <f t="shared" si="42"/>
        <v>1</v>
      </c>
    </row>
    <row r="204" spans="40:50" ht="12.75" customHeight="1">
      <c r="AN204" s="142" t="s">
        <v>533</v>
      </c>
      <c r="AO204" s="7" t="s">
        <v>289</v>
      </c>
      <c r="AP204" s="7" t="s">
        <v>537</v>
      </c>
      <c r="AQ204" s="7" t="s">
        <v>538</v>
      </c>
      <c r="AR204" s="7" t="s">
        <v>24</v>
      </c>
      <c r="AS204">
        <v>195</v>
      </c>
      <c r="AT204">
        <v>5737</v>
      </c>
      <c r="AU204">
        <v>1498</v>
      </c>
      <c r="AV204"/>
      <c r="AW204" s="344" t="s">
        <v>538</v>
      </c>
      <c r="AX204" s="142" t="b">
        <f t="shared" si="42"/>
        <v>1</v>
      </c>
    </row>
    <row r="205" spans="40:50" ht="12.75" customHeight="1">
      <c r="AN205" s="142" t="s">
        <v>533</v>
      </c>
      <c r="AO205" s="7" t="s">
        <v>289</v>
      </c>
      <c r="AP205" s="7" t="s">
        <v>537</v>
      </c>
      <c r="AQ205" s="7" t="s">
        <v>269</v>
      </c>
      <c r="AR205" s="7" t="s">
        <v>25</v>
      </c>
      <c r="AS205">
        <v>3501</v>
      </c>
      <c r="AT205">
        <v>50834</v>
      </c>
      <c r="AU205">
        <v>1258</v>
      </c>
      <c r="AV205"/>
      <c r="AW205" s="344" t="s">
        <v>269</v>
      </c>
      <c r="AX205" s="142" t="b">
        <f t="shared" si="42"/>
        <v>1</v>
      </c>
    </row>
    <row r="206" spans="40:50" ht="12.75" customHeight="1">
      <c r="AN206" s="142" t="s">
        <v>533</v>
      </c>
      <c r="AO206" s="7" t="s">
        <v>289</v>
      </c>
      <c r="AP206" s="7" t="s">
        <v>537</v>
      </c>
      <c r="AQ206" s="7" t="s">
        <v>270</v>
      </c>
      <c r="AR206" s="7" t="s">
        <v>26</v>
      </c>
      <c r="AS206">
        <v>12</v>
      </c>
      <c r="AT206">
        <v>320</v>
      </c>
      <c r="AU206">
        <v>2885</v>
      </c>
      <c r="AV206"/>
      <c r="AW206" s="344" t="s">
        <v>270</v>
      </c>
      <c r="AX206" s="142" t="b">
        <f t="shared" si="42"/>
        <v>1</v>
      </c>
    </row>
    <row r="207" spans="40:50" ht="12.75" customHeight="1">
      <c r="AN207" s="142" t="s">
        <v>533</v>
      </c>
      <c r="AO207" s="7" t="s">
        <v>289</v>
      </c>
      <c r="AP207" s="7" t="s">
        <v>537</v>
      </c>
      <c r="AQ207" s="7" t="s">
        <v>271</v>
      </c>
      <c r="AR207" s="7" t="s">
        <v>27</v>
      </c>
      <c r="AS207">
        <v>226</v>
      </c>
      <c r="AT207">
        <v>3897</v>
      </c>
      <c r="AU207">
        <v>1822</v>
      </c>
      <c r="AV207"/>
      <c r="AW207" s="344" t="s">
        <v>271</v>
      </c>
      <c r="AX207" s="142" t="b">
        <f t="shared" si="42"/>
        <v>1</v>
      </c>
    </row>
    <row r="208" spans="40:50" ht="12.75" customHeight="1">
      <c r="AN208" s="142" t="s">
        <v>533</v>
      </c>
      <c r="AO208" s="7" t="s">
        <v>289</v>
      </c>
      <c r="AP208" s="7" t="s">
        <v>537</v>
      </c>
      <c r="AQ208" s="7" t="s">
        <v>539</v>
      </c>
      <c r="AR208" s="7" t="s">
        <v>28</v>
      </c>
      <c r="AS208">
        <v>497</v>
      </c>
      <c r="AT208">
        <v>8830</v>
      </c>
      <c r="AU208">
        <v>831</v>
      </c>
      <c r="AV208"/>
      <c r="AW208" s="344" t="s">
        <v>539</v>
      </c>
      <c r="AX208" s="142" t="b">
        <f t="shared" si="42"/>
        <v>1</v>
      </c>
    </row>
    <row r="209" spans="40:50" ht="12.75" customHeight="1">
      <c r="AN209" s="142" t="s">
        <v>533</v>
      </c>
      <c r="AO209" s="7" t="s">
        <v>289</v>
      </c>
      <c r="AP209" s="7" t="s">
        <v>537</v>
      </c>
      <c r="AQ209" s="7" t="s">
        <v>540</v>
      </c>
      <c r="AR209" s="7" t="s">
        <v>29</v>
      </c>
      <c r="AS209">
        <v>94</v>
      </c>
      <c r="AT209">
        <v>1829</v>
      </c>
      <c r="AU209">
        <v>1101</v>
      </c>
      <c r="AV209"/>
      <c r="AW209" s="344" t="s">
        <v>540</v>
      </c>
      <c r="AX209" s="142" t="b">
        <f t="shared" si="42"/>
        <v>1</v>
      </c>
    </row>
    <row r="210" spans="40:50" ht="12.75" customHeight="1">
      <c r="AN210" s="142" t="s">
        <v>533</v>
      </c>
      <c r="AO210" s="7" t="s">
        <v>289</v>
      </c>
      <c r="AP210" s="7" t="s">
        <v>537</v>
      </c>
      <c r="AQ210" s="7" t="s">
        <v>272</v>
      </c>
      <c r="AR210" s="7" t="s">
        <v>30</v>
      </c>
      <c r="AS210">
        <v>68</v>
      </c>
      <c r="AT210">
        <v>571</v>
      </c>
      <c r="AU210">
        <v>2128</v>
      </c>
      <c r="AV210"/>
      <c r="AW210" s="344" t="s">
        <v>272</v>
      </c>
      <c r="AX210" s="142" t="b">
        <f t="shared" si="42"/>
        <v>1</v>
      </c>
    </row>
    <row r="211" spans="40:50" ht="12.75" customHeight="1">
      <c r="AN211" s="142" t="s">
        <v>533</v>
      </c>
      <c r="AO211" s="7" t="s">
        <v>289</v>
      </c>
      <c r="AP211" s="7" t="s">
        <v>537</v>
      </c>
      <c r="AQ211" s="7" t="s">
        <v>273</v>
      </c>
      <c r="AR211" s="7" t="s">
        <v>31</v>
      </c>
      <c r="AS211">
        <v>200</v>
      </c>
      <c r="AT211">
        <v>2405</v>
      </c>
      <c r="AU211">
        <v>2443</v>
      </c>
      <c r="AV211"/>
      <c r="AW211" s="344" t="s">
        <v>273</v>
      </c>
      <c r="AX211" s="142" t="b">
        <f t="shared" si="42"/>
        <v>1</v>
      </c>
    </row>
    <row r="212" spans="40:50" ht="12.75" customHeight="1">
      <c r="AN212" s="142" t="s">
        <v>533</v>
      </c>
      <c r="AO212" s="7" t="s">
        <v>289</v>
      </c>
      <c r="AP212" s="7" t="s">
        <v>537</v>
      </c>
      <c r="AQ212" s="7" t="s">
        <v>274</v>
      </c>
      <c r="AR212" s="7" t="s">
        <v>32</v>
      </c>
      <c r="AS212">
        <v>131</v>
      </c>
      <c r="AT212">
        <v>1073</v>
      </c>
      <c r="AU212">
        <v>1377</v>
      </c>
      <c r="AV212"/>
      <c r="AW212" s="344" t="s">
        <v>274</v>
      </c>
      <c r="AX212" s="142" t="b">
        <f t="shared" si="42"/>
        <v>1</v>
      </c>
    </row>
    <row r="213" spans="40:50" ht="12.75" customHeight="1">
      <c r="AN213" s="142" t="s">
        <v>533</v>
      </c>
      <c r="AO213" s="7" t="s">
        <v>289</v>
      </c>
      <c r="AP213" s="7" t="s">
        <v>537</v>
      </c>
      <c r="AQ213" s="7" t="s">
        <v>275</v>
      </c>
      <c r="AR213" s="7" t="s">
        <v>33</v>
      </c>
      <c r="AS213">
        <v>475</v>
      </c>
      <c r="AT213">
        <v>3482</v>
      </c>
      <c r="AU213">
        <v>2082</v>
      </c>
      <c r="AV213"/>
      <c r="AW213" s="344" t="s">
        <v>275</v>
      </c>
      <c r="AX213" s="142" t="b">
        <f t="shared" si="42"/>
        <v>1</v>
      </c>
    </row>
    <row r="214" spans="40:50" ht="12.75" customHeight="1">
      <c r="AN214" s="142" t="s">
        <v>533</v>
      </c>
      <c r="AO214" s="7" t="s">
        <v>289</v>
      </c>
      <c r="AP214" s="7" t="s">
        <v>537</v>
      </c>
      <c r="AQ214" s="7" t="s">
        <v>276</v>
      </c>
      <c r="AR214" s="7" t="s">
        <v>34</v>
      </c>
      <c r="AS214">
        <v>44</v>
      </c>
      <c r="AT214">
        <v>766</v>
      </c>
      <c r="AU214">
        <v>3048</v>
      </c>
      <c r="AV214"/>
      <c r="AW214" s="344" t="s">
        <v>276</v>
      </c>
      <c r="AX214" s="142" t="b">
        <f t="shared" si="42"/>
        <v>1</v>
      </c>
    </row>
    <row r="215" spans="40:50" ht="12.75" customHeight="1">
      <c r="AN215" s="142" t="s">
        <v>533</v>
      </c>
      <c r="AO215" s="7" t="s">
        <v>289</v>
      </c>
      <c r="AP215" s="7" t="s">
        <v>537</v>
      </c>
      <c r="AQ215" s="7" t="s">
        <v>277</v>
      </c>
      <c r="AR215" s="7" t="s">
        <v>35</v>
      </c>
      <c r="AS215">
        <v>337</v>
      </c>
      <c r="AT215">
        <v>3291</v>
      </c>
      <c r="AU215">
        <v>1228</v>
      </c>
      <c r="AV215"/>
      <c r="AW215" s="344" t="s">
        <v>277</v>
      </c>
      <c r="AX215" s="142" t="b">
        <f t="shared" si="42"/>
        <v>1</v>
      </c>
    </row>
    <row r="216" spans="40:50" ht="12.75" customHeight="1">
      <c r="AN216" s="142" t="s">
        <v>533</v>
      </c>
      <c r="AO216" s="7" t="s">
        <v>289</v>
      </c>
      <c r="AP216" s="7" t="s">
        <v>537</v>
      </c>
      <c r="AQ216" s="7" t="s">
        <v>278</v>
      </c>
      <c r="AR216" s="7" t="s">
        <v>36</v>
      </c>
      <c r="AS216">
        <v>86</v>
      </c>
      <c r="AT216">
        <v>1968</v>
      </c>
      <c r="AU216">
        <v>1025</v>
      </c>
      <c r="AV216"/>
      <c r="AW216" s="344" t="s">
        <v>278</v>
      </c>
      <c r="AX216" s="142" t="b">
        <f t="shared" si="42"/>
        <v>1</v>
      </c>
    </row>
    <row r="217" spans="40:50" ht="12.75" customHeight="1">
      <c r="AN217" s="142" t="s">
        <v>533</v>
      </c>
      <c r="AO217" s="7" t="s">
        <v>289</v>
      </c>
      <c r="AP217" s="7" t="s">
        <v>537</v>
      </c>
      <c r="AQ217" s="7" t="s">
        <v>279</v>
      </c>
      <c r="AR217" s="7" t="s">
        <v>37</v>
      </c>
      <c r="AS217">
        <v>400</v>
      </c>
      <c r="AT217">
        <v>11704</v>
      </c>
      <c r="AU217">
        <v>1274</v>
      </c>
      <c r="AV217"/>
      <c r="AW217" s="344" t="s">
        <v>279</v>
      </c>
      <c r="AX217" s="142" t="b">
        <f t="shared" si="42"/>
        <v>1</v>
      </c>
    </row>
    <row r="218" spans="40:50" ht="12.75" customHeight="1">
      <c r="AN218" s="142" t="s">
        <v>533</v>
      </c>
      <c r="AO218" s="7" t="s">
        <v>289</v>
      </c>
      <c r="AP218" s="7" t="s">
        <v>537</v>
      </c>
      <c r="AQ218" s="7" t="s">
        <v>280</v>
      </c>
      <c r="AR218" s="7" t="s">
        <v>38</v>
      </c>
      <c r="AS218">
        <v>78</v>
      </c>
      <c r="AT218">
        <v>2256</v>
      </c>
      <c r="AU218">
        <v>490</v>
      </c>
      <c r="AV218"/>
      <c r="AW218" s="344" t="s">
        <v>280</v>
      </c>
      <c r="AX218" s="142" t="b">
        <f t="shared" si="42"/>
        <v>1</v>
      </c>
    </row>
    <row r="219" spans="40:50" ht="12.75" customHeight="1">
      <c r="AN219" s="142" t="s">
        <v>533</v>
      </c>
      <c r="AO219" s="7" t="s">
        <v>289</v>
      </c>
      <c r="AP219" s="7" t="s">
        <v>537</v>
      </c>
      <c r="AQ219" s="7" t="s">
        <v>281</v>
      </c>
      <c r="AR219" s="7" t="s">
        <v>39</v>
      </c>
      <c r="AS219">
        <v>315</v>
      </c>
      <c r="AT219">
        <v>5301</v>
      </c>
      <c r="AU219">
        <v>535</v>
      </c>
      <c r="AV219"/>
      <c r="AW219" s="344" t="s">
        <v>281</v>
      </c>
      <c r="AX219" s="142" t="b">
        <f t="shared" si="42"/>
        <v>1</v>
      </c>
    </row>
    <row r="220" spans="40:50" ht="12.75" customHeight="1">
      <c r="AN220" s="142" t="s">
        <v>533</v>
      </c>
      <c r="AO220" s="7" t="s">
        <v>289</v>
      </c>
      <c r="AP220" s="7" t="s">
        <v>537</v>
      </c>
      <c r="AQ220" s="7" t="s">
        <v>282</v>
      </c>
      <c r="AR220" s="7" t="s">
        <v>40</v>
      </c>
      <c r="AS220">
        <v>522</v>
      </c>
      <c r="AT220">
        <v>3091</v>
      </c>
      <c r="AU220">
        <v>1109</v>
      </c>
      <c r="AV220"/>
      <c r="AW220" s="344" t="s">
        <v>282</v>
      </c>
      <c r="AX220" s="142" t="b">
        <f t="shared" si="42"/>
        <v>1</v>
      </c>
    </row>
    <row r="221" spans="40:50" ht="12.75" customHeight="1">
      <c r="AN221" s="142" t="s">
        <v>533</v>
      </c>
      <c r="AO221" s="7" t="s">
        <v>289</v>
      </c>
      <c r="AP221" s="7" t="s">
        <v>537</v>
      </c>
      <c r="AQ221" s="7" t="s">
        <v>283</v>
      </c>
      <c r="AR221" s="7" t="s">
        <v>41</v>
      </c>
      <c r="AS221">
        <v>16</v>
      </c>
      <c r="AT221">
        <v>50</v>
      </c>
      <c r="AU221">
        <v>1597</v>
      </c>
      <c r="AV221"/>
      <c r="AW221" s="344" t="s">
        <v>283</v>
      </c>
      <c r="AX221" s="142" t="b">
        <f t="shared" si="42"/>
        <v>1</v>
      </c>
    </row>
    <row r="222" spans="40:50" ht="12.75" customHeight="1">
      <c r="AN222" s="142" t="s">
        <v>533</v>
      </c>
      <c r="AO222" s="7" t="s">
        <v>289</v>
      </c>
      <c r="AP222" s="7" t="s">
        <v>541</v>
      </c>
      <c r="AQ222" s="86" t="s">
        <v>536</v>
      </c>
      <c r="AR222" s="7" t="s">
        <v>44</v>
      </c>
      <c r="AS222">
        <v>511</v>
      </c>
      <c r="AT222">
        <v>16089</v>
      </c>
      <c r="AU222">
        <v>1245</v>
      </c>
      <c r="AV222"/>
      <c r="AW222" s="344" t="s">
        <v>536</v>
      </c>
      <c r="AX222" s="142" t="b">
        <f t="shared" si="42"/>
        <v>1</v>
      </c>
    </row>
    <row r="223" spans="40:50" ht="12.75" customHeight="1">
      <c r="AN223" s="142" t="s">
        <v>533</v>
      </c>
      <c r="AO223" s="7" t="s">
        <v>289</v>
      </c>
      <c r="AP223" s="7" t="s">
        <v>542</v>
      </c>
      <c r="AQ223" s="86" t="s">
        <v>536</v>
      </c>
      <c r="AR223" s="7" t="s">
        <v>45</v>
      </c>
      <c r="AS223">
        <v>47</v>
      </c>
      <c r="AT223">
        <v>881</v>
      </c>
      <c r="AU223">
        <v>1940</v>
      </c>
      <c r="AV223"/>
      <c r="AW223" s="344" t="s">
        <v>536</v>
      </c>
      <c r="AX223" s="142" t="b">
        <f t="shared" si="42"/>
        <v>1</v>
      </c>
    </row>
    <row r="224" spans="40:50" ht="12.75" customHeight="1">
      <c r="AN224" s="142" t="s">
        <v>533</v>
      </c>
      <c r="AO224" s="7" t="s">
        <v>289</v>
      </c>
      <c r="AP224" s="7" t="s">
        <v>543</v>
      </c>
      <c r="AQ224" s="86" t="s">
        <v>536</v>
      </c>
      <c r="AR224" s="7" t="s">
        <v>46</v>
      </c>
      <c r="AS224">
        <v>348</v>
      </c>
      <c r="AT224">
        <v>8668</v>
      </c>
      <c r="AU224">
        <v>1295</v>
      </c>
      <c r="AV224"/>
      <c r="AW224" s="344" t="s">
        <v>536</v>
      </c>
      <c r="AX224" s="142" t="b">
        <f t="shared" si="42"/>
        <v>1</v>
      </c>
    </row>
    <row r="225" spans="40:50" ht="12.75" customHeight="1">
      <c r="AN225" s="142" t="s">
        <v>533</v>
      </c>
      <c r="AO225" s="7" t="s">
        <v>289</v>
      </c>
      <c r="AP225" s="7" t="s">
        <v>544</v>
      </c>
      <c r="AQ225" s="86" t="s">
        <v>536</v>
      </c>
      <c r="AR225" s="7" t="s">
        <v>47</v>
      </c>
      <c r="AS225">
        <v>116</v>
      </c>
      <c r="AT225">
        <v>6541</v>
      </c>
      <c r="AU225">
        <v>1086</v>
      </c>
      <c r="AV225"/>
      <c r="AW225" s="344" t="s">
        <v>536</v>
      </c>
      <c r="AX225" s="142" t="b">
        <f t="shared" si="42"/>
        <v>1</v>
      </c>
    </row>
    <row r="226" spans="40:50" ht="12.75" customHeight="1">
      <c r="AN226" s="142" t="s">
        <v>100</v>
      </c>
      <c r="AO226" s="7" t="s">
        <v>290</v>
      </c>
      <c r="AP226" s="7" t="s">
        <v>535</v>
      </c>
      <c r="AQ226" s="86" t="s">
        <v>536</v>
      </c>
      <c r="AR226" s="7" t="s">
        <v>42</v>
      </c>
      <c r="AS226">
        <v>10703</v>
      </c>
      <c r="AT226">
        <v>153563</v>
      </c>
      <c r="AU226">
        <v>1490</v>
      </c>
      <c r="AV226"/>
      <c r="AW226" s="344" t="s">
        <v>536</v>
      </c>
      <c r="AX226" s="142" t="b">
        <f t="shared" si="42"/>
        <v>1</v>
      </c>
    </row>
    <row r="227" spans="40:50" ht="12.75" customHeight="1">
      <c r="AN227" s="142" t="s">
        <v>533</v>
      </c>
      <c r="AO227" s="7" t="s">
        <v>290</v>
      </c>
      <c r="AP227" s="7" t="s">
        <v>537</v>
      </c>
      <c r="AQ227" s="86" t="s">
        <v>536</v>
      </c>
      <c r="AR227" s="7" t="s">
        <v>43</v>
      </c>
      <c r="AS227">
        <v>10409</v>
      </c>
      <c r="AT227">
        <v>138512</v>
      </c>
      <c r="AU227">
        <v>1523</v>
      </c>
      <c r="AV227"/>
      <c r="AW227" s="344" t="s">
        <v>536</v>
      </c>
      <c r="AX227" s="142" t="b">
        <f t="shared" si="42"/>
        <v>1</v>
      </c>
    </row>
    <row r="228" spans="40:50" ht="12.75" customHeight="1">
      <c r="AN228" s="142" t="s">
        <v>533</v>
      </c>
      <c r="AO228" s="7" t="s">
        <v>290</v>
      </c>
      <c r="AP228" s="7" t="s">
        <v>537</v>
      </c>
      <c r="AQ228" s="7" t="s">
        <v>265</v>
      </c>
      <c r="AR228" s="7" t="s">
        <v>20</v>
      </c>
      <c r="AS228">
        <v>1572</v>
      </c>
      <c r="AT228">
        <v>24594</v>
      </c>
      <c r="AU228">
        <v>1804</v>
      </c>
      <c r="AV228"/>
      <c r="AW228" s="344" t="s">
        <v>265</v>
      </c>
      <c r="AX228" s="142" t="b">
        <f t="shared" si="42"/>
        <v>1</v>
      </c>
    </row>
    <row r="229" spans="40:50" ht="12.75" customHeight="1">
      <c r="AN229" s="142" t="s">
        <v>533</v>
      </c>
      <c r="AO229" s="7" t="s">
        <v>290</v>
      </c>
      <c r="AP229" s="7" t="s">
        <v>537</v>
      </c>
      <c r="AQ229" s="7" t="s">
        <v>266</v>
      </c>
      <c r="AR229" s="7" t="s">
        <v>21</v>
      </c>
      <c r="AS229">
        <v>28</v>
      </c>
      <c r="AT229">
        <v>188</v>
      </c>
      <c r="AU229">
        <v>685</v>
      </c>
      <c r="AV229"/>
      <c r="AW229" s="344" t="s">
        <v>266</v>
      </c>
      <c r="AX229" s="142" t="b">
        <f t="shared" si="42"/>
        <v>1</v>
      </c>
    </row>
    <row r="230" spans="40:50" ht="12.75" customHeight="1">
      <c r="AN230" s="142" t="s">
        <v>533</v>
      </c>
      <c r="AO230" s="7" t="s">
        <v>290</v>
      </c>
      <c r="AP230" s="7" t="s">
        <v>537</v>
      </c>
      <c r="AQ230" s="7" t="s">
        <v>267</v>
      </c>
      <c r="AR230" s="7" t="s">
        <v>22</v>
      </c>
      <c r="AS230">
        <v>6</v>
      </c>
      <c r="AT230">
        <v>27</v>
      </c>
      <c r="AU230">
        <v>1138</v>
      </c>
      <c r="AV230"/>
      <c r="AW230" s="344" t="s">
        <v>267</v>
      </c>
      <c r="AX230" s="142" t="b">
        <f t="shared" si="42"/>
        <v>1</v>
      </c>
    </row>
    <row r="231" spans="40:50" ht="12.75" customHeight="1">
      <c r="AN231" s="142" t="s">
        <v>533</v>
      </c>
      <c r="AO231" s="7" t="s">
        <v>290</v>
      </c>
      <c r="AP231" s="7" t="s">
        <v>537</v>
      </c>
      <c r="AQ231" s="7" t="s">
        <v>268</v>
      </c>
      <c r="AR231" s="7" t="s">
        <v>23</v>
      </c>
      <c r="AS231">
        <v>1082</v>
      </c>
      <c r="AT231">
        <v>8057</v>
      </c>
      <c r="AU231">
        <v>1658</v>
      </c>
      <c r="AV231"/>
      <c r="AW231" s="344" t="s">
        <v>268</v>
      </c>
      <c r="AX231" s="142" t="b">
        <f t="shared" si="42"/>
        <v>1</v>
      </c>
    </row>
    <row r="232" spans="40:50" ht="12.75" customHeight="1">
      <c r="AN232" s="142" t="s">
        <v>533</v>
      </c>
      <c r="AO232" s="7" t="s">
        <v>290</v>
      </c>
      <c r="AP232" s="7" t="s">
        <v>537</v>
      </c>
      <c r="AQ232" s="7" t="s">
        <v>538</v>
      </c>
      <c r="AR232" s="7" t="s">
        <v>24</v>
      </c>
      <c r="AS232">
        <v>456</v>
      </c>
      <c r="AT232">
        <v>16322</v>
      </c>
      <c r="AU232">
        <v>1890</v>
      </c>
      <c r="AV232"/>
      <c r="AW232" s="344" t="s">
        <v>538</v>
      </c>
      <c r="AX232" s="142" t="b">
        <f t="shared" si="42"/>
        <v>1</v>
      </c>
    </row>
    <row r="233" spans="40:50" ht="12.75" customHeight="1">
      <c r="AN233" s="142" t="s">
        <v>533</v>
      </c>
      <c r="AO233" s="7" t="s">
        <v>290</v>
      </c>
      <c r="AP233" s="7" t="s">
        <v>537</v>
      </c>
      <c r="AQ233" s="7" t="s">
        <v>269</v>
      </c>
      <c r="AR233" s="7" t="s">
        <v>25</v>
      </c>
      <c r="AS233">
        <v>8837</v>
      </c>
      <c r="AT233">
        <v>113919</v>
      </c>
      <c r="AU233">
        <v>1462</v>
      </c>
      <c r="AV233"/>
      <c r="AW233" s="344" t="s">
        <v>269</v>
      </c>
      <c r="AX233" s="142" t="b">
        <f t="shared" si="42"/>
        <v>1</v>
      </c>
    </row>
    <row r="234" spans="40:50" ht="12.75" customHeight="1">
      <c r="AN234" s="142" t="s">
        <v>533</v>
      </c>
      <c r="AO234" s="7" t="s">
        <v>290</v>
      </c>
      <c r="AP234" s="7" t="s">
        <v>537</v>
      </c>
      <c r="AQ234" s="7" t="s">
        <v>270</v>
      </c>
      <c r="AR234" s="7" t="s">
        <v>26</v>
      </c>
      <c r="AS234">
        <v>21</v>
      </c>
      <c r="AT234">
        <v>635</v>
      </c>
      <c r="AU234">
        <v>3421</v>
      </c>
      <c r="AV234"/>
      <c r="AW234" s="344" t="s">
        <v>270</v>
      </c>
      <c r="AX234" s="142" t="b">
        <f t="shared" si="42"/>
        <v>1</v>
      </c>
    </row>
    <row r="235" spans="40:50" ht="12.75" customHeight="1">
      <c r="AN235" s="142" t="s">
        <v>533</v>
      </c>
      <c r="AO235" s="7" t="s">
        <v>290</v>
      </c>
      <c r="AP235" s="7" t="s">
        <v>537</v>
      </c>
      <c r="AQ235" s="7" t="s">
        <v>271</v>
      </c>
      <c r="AR235" s="7" t="s">
        <v>27</v>
      </c>
      <c r="AS235">
        <v>718</v>
      </c>
      <c r="AT235">
        <v>6894</v>
      </c>
      <c r="AU235">
        <v>2081</v>
      </c>
      <c r="AV235"/>
      <c r="AW235" s="344" t="s">
        <v>271</v>
      </c>
      <c r="AX235" s="142" t="b">
        <f t="shared" si="42"/>
        <v>1</v>
      </c>
    </row>
    <row r="236" spans="40:50" ht="12.75" customHeight="1">
      <c r="AN236" s="142" t="s">
        <v>533</v>
      </c>
      <c r="AO236" s="7" t="s">
        <v>290</v>
      </c>
      <c r="AP236" s="7" t="s">
        <v>537</v>
      </c>
      <c r="AQ236" s="7" t="s">
        <v>539</v>
      </c>
      <c r="AR236" s="7" t="s">
        <v>28</v>
      </c>
      <c r="AS236">
        <v>1411</v>
      </c>
      <c r="AT236">
        <v>24067</v>
      </c>
      <c r="AU236">
        <v>856</v>
      </c>
      <c r="AV236"/>
      <c r="AW236" s="344" t="s">
        <v>539</v>
      </c>
      <c r="AX236" s="142" t="b">
        <f t="shared" si="42"/>
        <v>1</v>
      </c>
    </row>
    <row r="237" spans="40:50" ht="12.75" customHeight="1">
      <c r="AN237" s="142" t="s">
        <v>533</v>
      </c>
      <c r="AO237" s="7" t="s">
        <v>290</v>
      </c>
      <c r="AP237" s="7" t="s">
        <v>537</v>
      </c>
      <c r="AQ237" s="7" t="s">
        <v>540</v>
      </c>
      <c r="AR237" s="7" t="s">
        <v>29</v>
      </c>
      <c r="AS237">
        <v>224</v>
      </c>
      <c r="AT237">
        <v>5986</v>
      </c>
      <c r="AU237">
        <v>1270</v>
      </c>
      <c r="AV237"/>
      <c r="AW237" s="344" t="s">
        <v>540</v>
      </c>
      <c r="AX237" s="142" t="b">
        <f t="shared" si="42"/>
        <v>1</v>
      </c>
    </row>
    <row r="238" spans="40:50" ht="12.75" customHeight="1">
      <c r="AN238" s="142" t="s">
        <v>533</v>
      </c>
      <c r="AO238" s="7" t="s">
        <v>290</v>
      </c>
      <c r="AP238" s="7" t="s">
        <v>537</v>
      </c>
      <c r="AQ238" s="7" t="s">
        <v>272</v>
      </c>
      <c r="AR238" s="7" t="s">
        <v>30</v>
      </c>
      <c r="AS238">
        <v>173</v>
      </c>
      <c r="AT238">
        <v>2030</v>
      </c>
      <c r="AU238">
        <v>2305</v>
      </c>
      <c r="AV238"/>
      <c r="AW238" s="344" t="s">
        <v>272</v>
      </c>
      <c r="AX238" s="142" t="b">
        <f t="shared" si="42"/>
        <v>1</v>
      </c>
    </row>
    <row r="239" spans="40:50" ht="12.75" customHeight="1">
      <c r="AN239" s="142" t="s">
        <v>533</v>
      </c>
      <c r="AO239" s="7" t="s">
        <v>290</v>
      </c>
      <c r="AP239" s="7" t="s">
        <v>537</v>
      </c>
      <c r="AQ239" s="7" t="s">
        <v>273</v>
      </c>
      <c r="AR239" s="7" t="s">
        <v>31</v>
      </c>
      <c r="AS239">
        <v>492</v>
      </c>
      <c r="AT239">
        <v>5442</v>
      </c>
      <c r="AU239">
        <v>3528</v>
      </c>
      <c r="AV239"/>
      <c r="AW239" s="344" t="s">
        <v>273</v>
      </c>
      <c r="AX239" s="142" t="b">
        <f t="shared" si="42"/>
        <v>1</v>
      </c>
    </row>
    <row r="240" spans="40:50" ht="12.75" customHeight="1">
      <c r="AN240" s="142" t="s">
        <v>533</v>
      </c>
      <c r="AO240" s="7" t="s">
        <v>290</v>
      </c>
      <c r="AP240" s="7" t="s">
        <v>537</v>
      </c>
      <c r="AQ240" s="7" t="s">
        <v>274</v>
      </c>
      <c r="AR240" s="7" t="s">
        <v>32</v>
      </c>
      <c r="AS240">
        <v>348</v>
      </c>
      <c r="AT240">
        <v>1807</v>
      </c>
      <c r="AU240">
        <v>1657</v>
      </c>
      <c r="AV240"/>
      <c r="AW240" s="344" t="s">
        <v>274</v>
      </c>
      <c r="AX240" s="142" t="b">
        <f t="shared" si="42"/>
        <v>1</v>
      </c>
    </row>
    <row r="241" spans="40:50" ht="12.75" customHeight="1">
      <c r="AN241" s="142" t="s">
        <v>533</v>
      </c>
      <c r="AO241" s="7" t="s">
        <v>290</v>
      </c>
      <c r="AP241" s="7" t="s">
        <v>537</v>
      </c>
      <c r="AQ241" s="7" t="s">
        <v>275</v>
      </c>
      <c r="AR241" s="7" t="s">
        <v>33</v>
      </c>
      <c r="AS241">
        <v>1316</v>
      </c>
      <c r="AT241">
        <v>11341</v>
      </c>
      <c r="AU241">
        <v>2351</v>
      </c>
      <c r="AV241"/>
      <c r="AW241" s="344" t="s">
        <v>275</v>
      </c>
      <c r="AX241" s="142" t="b">
        <f t="shared" si="42"/>
        <v>1</v>
      </c>
    </row>
    <row r="242" spans="40:50" ht="12.75" customHeight="1">
      <c r="AN242" s="142" t="s">
        <v>533</v>
      </c>
      <c r="AO242" s="7" t="s">
        <v>290</v>
      </c>
      <c r="AP242" s="7" t="s">
        <v>537</v>
      </c>
      <c r="AQ242" s="7" t="s">
        <v>276</v>
      </c>
      <c r="AR242" s="7" t="s">
        <v>34</v>
      </c>
      <c r="AS242">
        <v>136</v>
      </c>
      <c r="AT242">
        <v>2606</v>
      </c>
      <c r="AU242">
        <v>4815</v>
      </c>
      <c r="AV242"/>
      <c r="AW242" s="344" t="s">
        <v>276</v>
      </c>
      <c r="AX242" s="142" t="b">
        <f t="shared" si="42"/>
        <v>1</v>
      </c>
    </row>
    <row r="243" spans="40:50" ht="12.75" customHeight="1">
      <c r="AN243" s="142" t="s">
        <v>533</v>
      </c>
      <c r="AO243" s="7" t="s">
        <v>290</v>
      </c>
      <c r="AP243" s="7" t="s">
        <v>537</v>
      </c>
      <c r="AQ243" s="7" t="s">
        <v>277</v>
      </c>
      <c r="AR243" s="7" t="s">
        <v>35</v>
      </c>
      <c r="AS243">
        <v>774</v>
      </c>
      <c r="AT243">
        <v>8717</v>
      </c>
      <c r="AU243">
        <v>1543</v>
      </c>
      <c r="AV243"/>
      <c r="AW243" s="344" t="s">
        <v>277</v>
      </c>
      <c r="AX243" s="142" t="b">
        <f t="shared" si="42"/>
        <v>1</v>
      </c>
    </row>
    <row r="244" spans="40:50" ht="12.75" customHeight="1">
      <c r="AN244" s="142" t="s">
        <v>533</v>
      </c>
      <c r="AO244" s="7" t="s">
        <v>290</v>
      </c>
      <c r="AP244" s="7" t="s">
        <v>537</v>
      </c>
      <c r="AQ244" s="7" t="s">
        <v>278</v>
      </c>
      <c r="AR244" s="7" t="s">
        <v>36</v>
      </c>
      <c r="AS244">
        <v>168</v>
      </c>
      <c r="AT244">
        <v>3349</v>
      </c>
      <c r="AU244">
        <v>1045</v>
      </c>
      <c r="AV244"/>
      <c r="AW244" s="344" t="s">
        <v>278</v>
      </c>
      <c r="AX244" s="142" t="b">
        <f t="shared" si="42"/>
        <v>1</v>
      </c>
    </row>
    <row r="245" spans="40:50" ht="12.75" customHeight="1">
      <c r="AN245" s="142" t="s">
        <v>533</v>
      </c>
      <c r="AO245" s="7" t="s">
        <v>290</v>
      </c>
      <c r="AP245" s="7" t="s">
        <v>537</v>
      </c>
      <c r="AQ245" s="7" t="s">
        <v>279</v>
      </c>
      <c r="AR245" s="7" t="s">
        <v>37</v>
      </c>
      <c r="AS245">
        <v>975</v>
      </c>
      <c r="AT245">
        <v>18543</v>
      </c>
      <c r="AU245">
        <v>1287</v>
      </c>
      <c r="AV245"/>
      <c r="AW245" s="344" t="s">
        <v>279</v>
      </c>
      <c r="AX245" s="142" t="b">
        <f t="shared" si="42"/>
        <v>1</v>
      </c>
    </row>
    <row r="246" spans="40:50" ht="12.75" customHeight="1">
      <c r="AN246" s="142" t="s">
        <v>533</v>
      </c>
      <c r="AO246" s="7" t="s">
        <v>290</v>
      </c>
      <c r="AP246" s="7" t="s">
        <v>537</v>
      </c>
      <c r="AQ246" s="7" t="s">
        <v>280</v>
      </c>
      <c r="AR246" s="7" t="s">
        <v>38</v>
      </c>
      <c r="AS246">
        <v>207</v>
      </c>
      <c r="AT246">
        <v>2550</v>
      </c>
      <c r="AU246">
        <v>664</v>
      </c>
      <c r="AV246"/>
      <c r="AW246" s="344" t="s">
        <v>280</v>
      </c>
      <c r="AX246" s="142" t="b">
        <f t="shared" si="42"/>
        <v>1</v>
      </c>
    </row>
    <row r="247" spans="40:50" ht="12.75" customHeight="1">
      <c r="AN247" s="142" t="s">
        <v>533</v>
      </c>
      <c r="AO247" s="7" t="s">
        <v>290</v>
      </c>
      <c r="AP247" s="7" t="s">
        <v>537</v>
      </c>
      <c r="AQ247" s="7" t="s">
        <v>281</v>
      </c>
      <c r="AR247" s="7" t="s">
        <v>39</v>
      </c>
      <c r="AS247">
        <v>840</v>
      </c>
      <c r="AT247">
        <v>15035</v>
      </c>
      <c r="AU247">
        <v>568</v>
      </c>
      <c r="AV247"/>
      <c r="AW247" s="344" t="s">
        <v>281</v>
      </c>
      <c r="AX247" s="142" t="b">
        <f t="shared" si="42"/>
        <v>1</v>
      </c>
    </row>
    <row r="248" spans="40:50" ht="12.75" customHeight="1">
      <c r="AN248" s="142" t="s">
        <v>533</v>
      </c>
      <c r="AO248" s="7" t="s">
        <v>290</v>
      </c>
      <c r="AP248" s="7" t="s">
        <v>537</v>
      </c>
      <c r="AQ248" s="7" t="s">
        <v>282</v>
      </c>
      <c r="AR248" s="7" t="s">
        <v>40</v>
      </c>
      <c r="AS248">
        <v>967</v>
      </c>
      <c r="AT248">
        <v>4678</v>
      </c>
      <c r="AU248">
        <v>947</v>
      </c>
      <c r="AV248"/>
      <c r="AW248" s="344" t="s">
        <v>282</v>
      </c>
      <c r="AX248" s="142" t="b">
        <f t="shared" si="42"/>
        <v>1</v>
      </c>
    </row>
    <row r="249" spans="40:50" ht="12.75" customHeight="1">
      <c r="AN249" s="142" t="s">
        <v>533</v>
      </c>
      <c r="AO249" s="7" t="s">
        <v>290</v>
      </c>
      <c r="AP249" s="7" t="s">
        <v>537</v>
      </c>
      <c r="AQ249" s="7" t="s">
        <v>283</v>
      </c>
      <c r="AR249" s="7" t="s">
        <v>41</v>
      </c>
      <c r="AS249">
        <v>67</v>
      </c>
      <c r="AT249">
        <v>239</v>
      </c>
      <c r="AU249">
        <v>985</v>
      </c>
      <c r="AV249"/>
      <c r="AW249" s="344" t="s">
        <v>283</v>
      </c>
      <c r="AX249" s="142" t="b">
        <f t="shared" si="42"/>
        <v>1</v>
      </c>
    </row>
    <row r="250" spans="40:50" ht="12.75" customHeight="1">
      <c r="AN250" s="142" t="s">
        <v>533</v>
      </c>
      <c r="AO250" s="7" t="s">
        <v>290</v>
      </c>
      <c r="AP250" s="7" t="s">
        <v>541</v>
      </c>
      <c r="AQ250" s="86" t="s">
        <v>536</v>
      </c>
      <c r="AR250" s="7" t="s">
        <v>44</v>
      </c>
      <c r="AS250">
        <v>294</v>
      </c>
      <c r="AT250">
        <v>15050</v>
      </c>
      <c r="AU250">
        <v>1191</v>
      </c>
      <c r="AV250"/>
      <c r="AW250" s="344" t="s">
        <v>536</v>
      </c>
      <c r="AX250" s="142" t="b">
        <f t="shared" si="42"/>
        <v>1</v>
      </c>
    </row>
    <row r="251" spans="40:50" ht="12.75" customHeight="1">
      <c r="AN251" s="142" t="s">
        <v>533</v>
      </c>
      <c r="AO251" s="7" t="s">
        <v>290</v>
      </c>
      <c r="AP251" s="7" t="s">
        <v>542</v>
      </c>
      <c r="AQ251" s="86" t="s">
        <v>536</v>
      </c>
      <c r="AR251" s="7" t="s">
        <v>45</v>
      </c>
      <c r="AS251">
        <v>65</v>
      </c>
      <c r="AT251">
        <v>1557</v>
      </c>
      <c r="AU251">
        <v>1848</v>
      </c>
      <c r="AV251"/>
      <c r="AW251" s="344" t="s">
        <v>536</v>
      </c>
      <c r="AX251" s="142" t="b">
        <f t="shared" si="42"/>
        <v>1</v>
      </c>
    </row>
    <row r="252" spans="40:50" ht="12.75" customHeight="1">
      <c r="AN252" s="142" t="s">
        <v>533</v>
      </c>
      <c r="AO252" s="7" t="s">
        <v>290</v>
      </c>
      <c r="AP252" s="7" t="s">
        <v>543</v>
      </c>
      <c r="AQ252" s="86" t="s">
        <v>536</v>
      </c>
      <c r="AR252" s="7" t="s">
        <v>46</v>
      </c>
      <c r="AS252">
        <v>84</v>
      </c>
      <c r="AT252">
        <v>1090</v>
      </c>
      <c r="AU252">
        <v>890</v>
      </c>
      <c r="AV252"/>
      <c r="AW252" s="344" t="s">
        <v>536</v>
      </c>
      <c r="AX252" s="142" t="b">
        <f t="shared" si="42"/>
        <v>1</v>
      </c>
    </row>
    <row r="253" spans="40:50" ht="12.75" customHeight="1">
      <c r="AN253" s="142" t="s">
        <v>533</v>
      </c>
      <c r="AO253" s="7" t="s">
        <v>290</v>
      </c>
      <c r="AP253" s="7" t="s">
        <v>544</v>
      </c>
      <c r="AQ253" s="86" t="s">
        <v>536</v>
      </c>
      <c r="AR253" s="7" t="s">
        <v>47</v>
      </c>
      <c r="AS253">
        <v>145</v>
      </c>
      <c r="AT253">
        <v>12403</v>
      </c>
      <c r="AU253">
        <v>1135</v>
      </c>
      <c r="AV253"/>
      <c r="AW253" s="344" t="s">
        <v>536</v>
      </c>
      <c r="AX253" s="142" t="b">
        <f t="shared" si="42"/>
        <v>1</v>
      </c>
    </row>
    <row r="254" spans="40:50" ht="12.75" customHeight="1">
      <c r="AN254" s="142" t="s">
        <v>101</v>
      </c>
      <c r="AO254" s="7" t="s">
        <v>291</v>
      </c>
      <c r="AP254" s="7" t="s">
        <v>535</v>
      </c>
      <c r="AQ254" s="86" t="s">
        <v>536</v>
      </c>
      <c r="AR254" s="7" t="s">
        <v>42</v>
      </c>
      <c r="AS254">
        <v>2837</v>
      </c>
      <c r="AT254">
        <v>46225</v>
      </c>
      <c r="AU254">
        <v>1301</v>
      </c>
      <c r="AV254"/>
      <c r="AW254" s="344" t="s">
        <v>536</v>
      </c>
      <c r="AX254" s="142" t="b">
        <f t="shared" si="42"/>
        <v>1</v>
      </c>
    </row>
    <row r="255" spans="40:50" ht="12.75" customHeight="1">
      <c r="AN255" s="142" t="s">
        <v>533</v>
      </c>
      <c r="AO255" s="7" t="s">
        <v>291</v>
      </c>
      <c r="AP255" s="7" t="s">
        <v>537</v>
      </c>
      <c r="AQ255" s="86" t="s">
        <v>536</v>
      </c>
      <c r="AR255" s="7" t="s">
        <v>43</v>
      </c>
      <c r="AS255">
        <v>2733</v>
      </c>
      <c r="AT255">
        <v>37122</v>
      </c>
      <c r="AU255">
        <v>1321</v>
      </c>
      <c r="AV255"/>
      <c r="AW255" s="344" t="s">
        <v>536</v>
      </c>
      <c r="AX255" s="142" t="b">
        <f t="shared" si="42"/>
        <v>1</v>
      </c>
    </row>
    <row r="256" spans="40:50" ht="12.75" customHeight="1">
      <c r="AN256" s="142" t="s">
        <v>533</v>
      </c>
      <c r="AO256" s="7" t="s">
        <v>291</v>
      </c>
      <c r="AP256" s="7" t="s">
        <v>537</v>
      </c>
      <c r="AQ256" s="7" t="s">
        <v>265</v>
      </c>
      <c r="AR256" s="7" t="s">
        <v>20</v>
      </c>
      <c r="AS256">
        <v>459</v>
      </c>
      <c r="AT256">
        <v>6659</v>
      </c>
      <c r="AU256">
        <v>1505</v>
      </c>
      <c r="AV256"/>
      <c r="AW256" s="344" t="s">
        <v>265</v>
      </c>
      <c r="AX256" s="142" t="b">
        <f t="shared" si="42"/>
        <v>1</v>
      </c>
    </row>
    <row r="257" spans="40:50" ht="12.75" customHeight="1">
      <c r="AN257" s="142" t="s">
        <v>533</v>
      </c>
      <c r="AO257" s="7" t="s">
        <v>291</v>
      </c>
      <c r="AP257" s="7" t="s">
        <v>537</v>
      </c>
      <c r="AQ257" s="7" t="s">
        <v>266</v>
      </c>
      <c r="AR257" s="7" t="s">
        <v>21</v>
      </c>
      <c r="AS257" t="s">
        <v>586</v>
      </c>
      <c r="AT257" t="s">
        <v>586</v>
      </c>
      <c r="AU257" t="s">
        <v>586</v>
      </c>
      <c r="AV257"/>
      <c r="AW257" s="344" t="s">
        <v>266</v>
      </c>
      <c r="AX257" s="142" t="b">
        <f t="shared" si="42"/>
        <v>1</v>
      </c>
    </row>
    <row r="258" spans="40:50" ht="12.75" customHeight="1">
      <c r="AN258" s="142" t="s">
        <v>533</v>
      </c>
      <c r="AO258" s="7" t="s">
        <v>291</v>
      </c>
      <c r="AP258" s="7" t="s">
        <v>537</v>
      </c>
      <c r="AQ258" s="7" t="s">
        <v>267</v>
      </c>
      <c r="AR258" s="7" t="s">
        <v>22</v>
      </c>
      <c r="AS258" t="s">
        <v>586</v>
      </c>
      <c r="AT258" t="s">
        <v>586</v>
      </c>
      <c r="AU258" t="s">
        <v>586</v>
      </c>
      <c r="AV258"/>
      <c r="AW258" s="344" t="s">
        <v>267</v>
      </c>
      <c r="AX258" s="142" t="b">
        <f t="shared" si="42"/>
        <v>1</v>
      </c>
    </row>
    <row r="259" spans="40:50" ht="12.75" customHeight="1">
      <c r="AN259" s="142" t="s">
        <v>533</v>
      </c>
      <c r="AO259" s="7" t="s">
        <v>291</v>
      </c>
      <c r="AP259" s="7" t="s">
        <v>537</v>
      </c>
      <c r="AQ259" s="7" t="s">
        <v>268</v>
      </c>
      <c r="AR259" s="7" t="s">
        <v>23</v>
      </c>
      <c r="AS259">
        <v>299</v>
      </c>
      <c r="AT259">
        <v>1586</v>
      </c>
      <c r="AU259">
        <v>1305</v>
      </c>
      <c r="AV259"/>
      <c r="AW259" s="344" t="s">
        <v>268</v>
      </c>
      <c r="AX259" s="142" t="b">
        <f t="shared" ref="AX259:AX309" si="43">AQ259=AW259</f>
        <v>1</v>
      </c>
    </row>
    <row r="260" spans="40:50" ht="12.75" customHeight="1">
      <c r="AN260" s="142" t="s">
        <v>533</v>
      </c>
      <c r="AO260" s="7" t="s">
        <v>291</v>
      </c>
      <c r="AP260" s="7" t="s">
        <v>537</v>
      </c>
      <c r="AQ260" s="7" t="s">
        <v>538</v>
      </c>
      <c r="AR260" s="7" t="s">
        <v>24</v>
      </c>
      <c r="AS260">
        <v>146</v>
      </c>
      <c r="AT260">
        <v>4933</v>
      </c>
      <c r="AU260">
        <v>1592</v>
      </c>
      <c r="AV260"/>
      <c r="AW260" s="344" t="s">
        <v>538</v>
      </c>
      <c r="AX260" s="142" t="b">
        <f t="shared" si="43"/>
        <v>1</v>
      </c>
    </row>
    <row r="261" spans="40:50" ht="12.75" customHeight="1">
      <c r="AN261" s="142" t="s">
        <v>533</v>
      </c>
      <c r="AO261" s="7" t="s">
        <v>291</v>
      </c>
      <c r="AP261" s="7" t="s">
        <v>537</v>
      </c>
      <c r="AQ261" s="7" t="s">
        <v>269</v>
      </c>
      <c r="AR261" s="7" t="s">
        <v>25</v>
      </c>
      <c r="AS261">
        <v>2274</v>
      </c>
      <c r="AT261">
        <v>30463</v>
      </c>
      <c r="AU261">
        <v>1280</v>
      </c>
      <c r="AV261"/>
      <c r="AW261" s="344" t="s">
        <v>269</v>
      </c>
      <c r="AX261" s="142" t="b">
        <f t="shared" si="43"/>
        <v>1</v>
      </c>
    </row>
    <row r="262" spans="40:50" ht="12.75" customHeight="1">
      <c r="AN262" s="142" t="s">
        <v>533</v>
      </c>
      <c r="AO262" s="7" t="s">
        <v>291</v>
      </c>
      <c r="AP262" s="7" t="s">
        <v>537</v>
      </c>
      <c r="AQ262" s="7" t="s">
        <v>270</v>
      </c>
      <c r="AR262" s="7" t="s">
        <v>26</v>
      </c>
      <c r="AS262" t="s">
        <v>586</v>
      </c>
      <c r="AT262" t="s">
        <v>586</v>
      </c>
      <c r="AU262" t="s">
        <v>586</v>
      </c>
      <c r="AV262"/>
      <c r="AW262" s="344" t="s">
        <v>270</v>
      </c>
      <c r="AX262" s="142" t="b">
        <f t="shared" si="43"/>
        <v>1</v>
      </c>
    </row>
    <row r="263" spans="40:50" ht="12.75" customHeight="1">
      <c r="AN263" s="142" t="s">
        <v>533</v>
      </c>
      <c r="AO263" s="7" t="s">
        <v>291</v>
      </c>
      <c r="AP263" s="7" t="s">
        <v>537</v>
      </c>
      <c r="AQ263" s="7" t="s">
        <v>271</v>
      </c>
      <c r="AR263" s="7" t="s">
        <v>27</v>
      </c>
      <c r="AS263">
        <v>128</v>
      </c>
      <c r="AT263">
        <v>1268</v>
      </c>
      <c r="AU263">
        <v>2205</v>
      </c>
      <c r="AV263"/>
      <c r="AW263" s="344" t="s">
        <v>271</v>
      </c>
      <c r="AX263" s="142" t="b">
        <f t="shared" si="43"/>
        <v>1</v>
      </c>
    </row>
    <row r="264" spans="40:50" ht="12.75" customHeight="1">
      <c r="AN264" s="142" t="s">
        <v>533</v>
      </c>
      <c r="AO264" s="7" t="s">
        <v>291</v>
      </c>
      <c r="AP264" s="7" t="s">
        <v>537</v>
      </c>
      <c r="AQ264" s="7" t="s">
        <v>539</v>
      </c>
      <c r="AR264" s="7" t="s">
        <v>28</v>
      </c>
      <c r="AS264">
        <v>355</v>
      </c>
      <c r="AT264">
        <v>6906</v>
      </c>
      <c r="AU264">
        <v>805</v>
      </c>
      <c r="AV264"/>
      <c r="AW264" s="344" t="s">
        <v>539</v>
      </c>
      <c r="AX264" s="142" t="b">
        <f t="shared" si="43"/>
        <v>1</v>
      </c>
    </row>
    <row r="265" spans="40:50" ht="12.75" customHeight="1">
      <c r="AN265" s="142" t="s">
        <v>533</v>
      </c>
      <c r="AO265" s="7" t="s">
        <v>291</v>
      </c>
      <c r="AP265" s="7" t="s">
        <v>537</v>
      </c>
      <c r="AQ265" s="7" t="s">
        <v>540</v>
      </c>
      <c r="AR265" s="7" t="s">
        <v>29</v>
      </c>
      <c r="AS265">
        <v>43</v>
      </c>
      <c r="AT265">
        <v>866</v>
      </c>
      <c r="AU265">
        <v>4869</v>
      </c>
      <c r="AV265"/>
      <c r="AW265" s="344" t="s">
        <v>540</v>
      </c>
      <c r="AX265" s="142" t="b">
        <f t="shared" si="43"/>
        <v>1</v>
      </c>
    </row>
    <row r="266" spans="40:50" ht="12.75" customHeight="1">
      <c r="AN266" s="142" t="s">
        <v>533</v>
      </c>
      <c r="AO266" s="7" t="s">
        <v>291</v>
      </c>
      <c r="AP266" s="7" t="s">
        <v>537</v>
      </c>
      <c r="AQ266" s="7" t="s">
        <v>272</v>
      </c>
      <c r="AR266" s="7" t="s">
        <v>30</v>
      </c>
      <c r="AS266">
        <v>44</v>
      </c>
      <c r="AT266">
        <v>308</v>
      </c>
      <c r="AU266">
        <v>1836</v>
      </c>
      <c r="AV266"/>
      <c r="AW266" s="344" t="s">
        <v>272</v>
      </c>
      <c r="AX266" s="142" t="b">
        <f t="shared" si="43"/>
        <v>1</v>
      </c>
    </row>
    <row r="267" spans="40:50" ht="12.75" customHeight="1">
      <c r="AN267" s="142" t="s">
        <v>533</v>
      </c>
      <c r="AO267" s="7" t="s">
        <v>291</v>
      </c>
      <c r="AP267" s="7" t="s">
        <v>537</v>
      </c>
      <c r="AQ267" s="7" t="s">
        <v>273</v>
      </c>
      <c r="AR267" s="7" t="s">
        <v>31</v>
      </c>
      <c r="AS267">
        <v>119</v>
      </c>
      <c r="AT267">
        <v>1545</v>
      </c>
      <c r="AU267">
        <v>2672</v>
      </c>
      <c r="AV267"/>
      <c r="AW267" s="344" t="s">
        <v>273</v>
      </c>
      <c r="AX267" s="142" t="b">
        <f t="shared" si="43"/>
        <v>1</v>
      </c>
    </row>
    <row r="268" spans="40:50" ht="12.75" customHeight="1">
      <c r="AN268" s="142" t="s">
        <v>533</v>
      </c>
      <c r="AO268" s="7" t="s">
        <v>291</v>
      </c>
      <c r="AP268" s="7" t="s">
        <v>537</v>
      </c>
      <c r="AQ268" s="7" t="s">
        <v>274</v>
      </c>
      <c r="AR268" s="7" t="s">
        <v>32</v>
      </c>
      <c r="AS268">
        <v>94</v>
      </c>
      <c r="AT268">
        <v>371</v>
      </c>
      <c r="AU268">
        <v>1071</v>
      </c>
      <c r="AV268"/>
      <c r="AW268" s="344" t="s">
        <v>274</v>
      </c>
      <c r="AX268" s="142" t="b">
        <f t="shared" si="43"/>
        <v>1</v>
      </c>
    </row>
    <row r="269" spans="40:50" ht="12.75" customHeight="1">
      <c r="AN269" s="142" t="s">
        <v>533</v>
      </c>
      <c r="AO269" s="7" t="s">
        <v>291</v>
      </c>
      <c r="AP269" s="7" t="s">
        <v>537</v>
      </c>
      <c r="AQ269" s="7" t="s">
        <v>275</v>
      </c>
      <c r="AR269" s="7" t="s">
        <v>33</v>
      </c>
      <c r="AS269">
        <v>279</v>
      </c>
      <c r="AT269">
        <v>1998</v>
      </c>
      <c r="AU269">
        <v>1747</v>
      </c>
      <c r="AV269"/>
      <c r="AW269" s="344" t="s">
        <v>275</v>
      </c>
      <c r="AX269" s="142" t="b">
        <f t="shared" si="43"/>
        <v>1</v>
      </c>
    </row>
    <row r="270" spans="40:50" ht="12.75" customHeight="1">
      <c r="AN270" s="142" t="s">
        <v>533</v>
      </c>
      <c r="AO270" s="7" t="s">
        <v>291</v>
      </c>
      <c r="AP270" s="7" t="s">
        <v>537</v>
      </c>
      <c r="AQ270" s="7" t="s">
        <v>276</v>
      </c>
      <c r="AR270" s="7" t="s">
        <v>34</v>
      </c>
      <c r="AS270">
        <v>19</v>
      </c>
      <c r="AT270">
        <v>195</v>
      </c>
      <c r="AU270">
        <v>1549</v>
      </c>
      <c r="AV270"/>
      <c r="AW270" s="344" t="s">
        <v>276</v>
      </c>
      <c r="AX270" s="142" t="b">
        <f t="shared" si="43"/>
        <v>1</v>
      </c>
    </row>
    <row r="271" spans="40:50" ht="12.75" customHeight="1">
      <c r="AN271" s="142" t="s">
        <v>533</v>
      </c>
      <c r="AO271" s="7" t="s">
        <v>291</v>
      </c>
      <c r="AP271" s="7" t="s">
        <v>537</v>
      </c>
      <c r="AQ271" s="7" t="s">
        <v>277</v>
      </c>
      <c r="AR271" s="7" t="s">
        <v>35</v>
      </c>
      <c r="AS271">
        <v>225</v>
      </c>
      <c r="AT271">
        <v>2031</v>
      </c>
      <c r="AU271">
        <v>1260</v>
      </c>
      <c r="AV271"/>
      <c r="AW271" s="344" t="s">
        <v>277</v>
      </c>
      <c r="AX271" s="142" t="b">
        <f t="shared" si="43"/>
        <v>1</v>
      </c>
    </row>
    <row r="272" spans="40:50" ht="12.75" customHeight="1">
      <c r="AN272" s="142" t="s">
        <v>533</v>
      </c>
      <c r="AO272" s="7" t="s">
        <v>291</v>
      </c>
      <c r="AP272" s="7" t="s">
        <v>537</v>
      </c>
      <c r="AQ272" s="7" t="s">
        <v>278</v>
      </c>
      <c r="AR272" s="7" t="s">
        <v>36</v>
      </c>
      <c r="AS272">
        <v>54</v>
      </c>
      <c r="AT272">
        <v>475</v>
      </c>
      <c r="AU272">
        <v>806</v>
      </c>
      <c r="AV272" s="339"/>
      <c r="AW272" s="344" t="s">
        <v>278</v>
      </c>
      <c r="AX272" s="142" t="b">
        <f t="shared" si="43"/>
        <v>1</v>
      </c>
    </row>
    <row r="273" spans="40:50" ht="12.75" customHeight="1">
      <c r="AN273" s="142" t="s">
        <v>533</v>
      </c>
      <c r="AO273" s="7" t="s">
        <v>291</v>
      </c>
      <c r="AP273" s="7" t="s">
        <v>537</v>
      </c>
      <c r="AQ273" s="7" t="s">
        <v>279</v>
      </c>
      <c r="AR273" s="7" t="s">
        <v>37</v>
      </c>
      <c r="AS273">
        <v>290</v>
      </c>
      <c r="AT273">
        <v>7843</v>
      </c>
      <c r="AU273">
        <v>1321</v>
      </c>
      <c r="AV273"/>
      <c r="AW273" s="344" t="s">
        <v>279</v>
      </c>
      <c r="AX273" s="142" t="b">
        <f t="shared" si="43"/>
        <v>1</v>
      </c>
    </row>
    <row r="274" spans="40:50" ht="12.75" customHeight="1">
      <c r="AN274" s="142" t="s">
        <v>533</v>
      </c>
      <c r="AO274" s="7" t="s">
        <v>291</v>
      </c>
      <c r="AP274" s="7" t="s">
        <v>537</v>
      </c>
      <c r="AQ274" s="7" t="s">
        <v>280</v>
      </c>
      <c r="AR274" s="7" t="s">
        <v>38</v>
      </c>
      <c r="AS274">
        <v>43</v>
      </c>
      <c r="AT274">
        <v>641</v>
      </c>
      <c r="AU274">
        <v>650</v>
      </c>
      <c r="AV274"/>
      <c r="AW274" s="344" t="s">
        <v>280</v>
      </c>
      <c r="AX274" s="142" t="b">
        <f t="shared" si="43"/>
        <v>1</v>
      </c>
    </row>
    <row r="275" spans="40:50" ht="12.75" customHeight="1">
      <c r="AN275" s="142" t="s">
        <v>533</v>
      </c>
      <c r="AO275" s="7" t="s">
        <v>291</v>
      </c>
      <c r="AP275" s="7" t="s">
        <v>537</v>
      </c>
      <c r="AQ275" s="7" t="s">
        <v>281</v>
      </c>
      <c r="AR275" s="7" t="s">
        <v>39</v>
      </c>
      <c r="AS275">
        <v>285</v>
      </c>
      <c r="AT275">
        <v>4244</v>
      </c>
      <c r="AU275">
        <v>504</v>
      </c>
      <c r="AV275"/>
      <c r="AW275" s="344" t="s">
        <v>281</v>
      </c>
      <c r="AX275" s="142" t="b">
        <f t="shared" si="43"/>
        <v>1</v>
      </c>
    </row>
    <row r="276" spans="40:50" ht="12.75" customHeight="1">
      <c r="AN276" s="142" t="s">
        <v>533</v>
      </c>
      <c r="AO276" s="7" t="s">
        <v>291</v>
      </c>
      <c r="AP276" s="7" t="s">
        <v>537</v>
      </c>
      <c r="AQ276" s="7" t="s">
        <v>282</v>
      </c>
      <c r="AR276" s="7" t="s">
        <v>40</v>
      </c>
      <c r="AS276">
        <v>276</v>
      </c>
      <c r="AT276">
        <v>1639</v>
      </c>
      <c r="AU276">
        <v>873</v>
      </c>
      <c r="AV276"/>
      <c r="AW276" s="344" t="s">
        <v>282</v>
      </c>
      <c r="AX276" s="142" t="b">
        <f t="shared" si="43"/>
        <v>1</v>
      </c>
    </row>
    <row r="277" spans="40:50" ht="12.75" customHeight="1">
      <c r="AN277" s="142" t="s">
        <v>533</v>
      </c>
      <c r="AO277" s="7" t="s">
        <v>291</v>
      </c>
      <c r="AP277" s="7" t="s">
        <v>537</v>
      </c>
      <c r="AQ277" s="7" t="s">
        <v>283</v>
      </c>
      <c r="AR277" s="7" t="s">
        <v>41</v>
      </c>
      <c r="AS277" t="s">
        <v>586</v>
      </c>
      <c r="AT277" t="s">
        <v>586</v>
      </c>
      <c r="AU277" t="s">
        <v>586</v>
      </c>
      <c r="AV277"/>
      <c r="AW277" s="344" t="s">
        <v>283</v>
      </c>
      <c r="AX277" s="142" t="b">
        <f t="shared" si="43"/>
        <v>1</v>
      </c>
    </row>
    <row r="278" spans="40:50" ht="12.75" customHeight="1">
      <c r="AN278" s="142" t="s">
        <v>533</v>
      </c>
      <c r="AO278" s="7" t="s">
        <v>291</v>
      </c>
      <c r="AP278" s="7" t="s">
        <v>541</v>
      </c>
      <c r="AQ278" s="86" t="s">
        <v>536</v>
      </c>
      <c r="AR278" s="7" t="s">
        <v>44</v>
      </c>
      <c r="AS278">
        <v>104</v>
      </c>
      <c r="AT278">
        <v>9102</v>
      </c>
      <c r="AU278">
        <v>1222</v>
      </c>
      <c r="AV278"/>
      <c r="AW278" s="344" t="s">
        <v>536</v>
      </c>
      <c r="AX278" s="142" t="b">
        <f t="shared" si="43"/>
        <v>1</v>
      </c>
    </row>
    <row r="279" spans="40:50" ht="12.75" customHeight="1">
      <c r="AN279" s="142" t="s">
        <v>533</v>
      </c>
      <c r="AO279" s="7" t="s">
        <v>291</v>
      </c>
      <c r="AP279" s="7" t="s">
        <v>542</v>
      </c>
      <c r="AQ279" s="86" t="s">
        <v>536</v>
      </c>
      <c r="AR279" s="7" t="s">
        <v>45</v>
      </c>
      <c r="AS279">
        <v>21</v>
      </c>
      <c r="AT279">
        <v>331</v>
      </c>
      <c r="AU279">
        <v>1703</v>
      </c>
      <c r="AV279"/>
      <c r="AW279" s="344" t="s">
        <v>536</v>
      </c>
      <c r="AX279" s="142" t="b">
        <f t="shared" si="43"/>
        <v>1</v>
      </c>
    </row>
    <row r="280" spans="40:50" ht="12.75" customHeight="1">
      <c r="AN280" s="142" t="s">
        <v>533</v>
      </c>
      <c r="AO280" s="7" t="s">
        <v>291</v>
      </c>
      <c r="AP280" s="7" t="s">
        <v>543</v>
      </c>
      <c r="AQ280" s="86" t="s">
        <v>536</v>
      </c>
      <c r="AR280" s="7" t="s">
        <v>46</v>
      </c>
      <c r="AS280">
        <v>38</v>
      </c>
      <c r="AT280">
        <v>3905</v>
      </c>
      <c r="AU280">
        <v>1400</v>
      </c>
      <c r="AV280"/>
      <c r="AW280" s="344" t="s">
        <v>536</v>
      </c>
      <c r="AX280" s="142" t="b">
        <f t="shared" si="43"/>
        <v>1</v>
      </c>
    </row>
    <row r="281" spans="40:50" ht="12.75" customHeight="1">
      <c r="AN281" s="142" t="s">
        <v>533</v>
      </c>
      <c r="AO281" s="7" t="s">
        <v>291</v>
      </c>
      <c r="AP281" s="7" t="s">
        <v>544</v>
      </c>
      <c r="AQ281" s="86" t="s">
        <v>536</v>
      </c>
      <c r="AR281" s="7" t="s">
        <v>47</v>
      </c>
      <c r="AS281">
        <v>45</v>
      </c>
      <c r="AT281">
        <v>4866</v>
      </c>
      <c r="AU281">
        <v>1047</v>
      </c>
      <c r="AV281"/>
      <c r="AW281" s="344" t="s">
        <v>536</v>
      </c>
      <c r="AX281" s="142" t="b">
        <f t="shared" si="43"/>
        <v>1</v>
      </c>
    </row>
    <row r="282" spans="40:50" ht="12.75" customHeight="1">
      <c r="AN282" s="142" t="s">
        <v>102</v>
      </c>
      <c r="AO282" s="7" t="s">
        <v>292</v>
      </c>
      <c r="AP282" s="7" t="s">
        <v>535</v>
      </c>
      <c r="AQ282" s="86" t="s">
        <v>536</v>
      </c>
      <c r="AR282" s="7" t="s">
        <v>42</v>
      </c>
      <c r="AS282">
        <v>1048</v>
      </c>
      <c r="AT282">
        <v>13665</v>
      </c>
      <c r="AU282">
        <v>1089</v>
      </c>
      <c r="AV282"/>
      <c r="AW282" s="344" t="s">
        <v>536</v>
      </c>
      <c r="AX282" s="142" t="b">
        <f t="shared" si="43"/>
        <v>1</v>
      </c>
    </row>
    <row r="283" spans="40:50" ht="12.75" customHeight="1">
      <c r="AN283" s="142" t="s">
        <v>533</v>
      </c>
      <c r="AO283" s="7" t="s">
        <v>292</v>
      </c>
      <c r="AP283" s="7" t="s">
        <v>537</v>
      </c>
      <c r="AQ283" s="86" t="s">
        <v>536</v>
      </c>
      <c r="AR283" s="7" t="s">
        <v>43</v>
      </c>
      <c r="AS283">
        <v>955</v>
      </c>
      <c r="AT283">
        <v>11376</v>
      </c>
      <c r="AU283">
        <v>1115</v>
      </c>
      <c r="AV283"/>
      <c r="AW283" s="344" t="s">
        <v>536</v>
      </c>
      <c r="AX283" s="142" t="b">
        <f t="shared" si="43"/>
        <v>1</v>
      </c>
    </row>
    <row r="284" spans="40:50" ht="12.75" customHeight="1">
      <c r="AN284" s="142" t="s">
        <v>533</v>
      </c>
      <c r="AO284" s="7" t="s">
        <v>292</v>
      </c>
      <c r="AP284" s="7" t="s">
        <v>537</v>
      </c>
      <c r="AQ284" s="7" t="s">
        <v>265</v>
      </c>
      <c r="AR284" s="7" t="s">
        <v>20</v>
      </c>
      <c r="AS284">
        <v>224</v>
      </c>
      <c r="AT284">
        <v>3918</v>
      </c>
      <c r="AU284">
        <v>1351</v>
      </c>
      <c r="AV284"/>
      <c r="AW284" s="344" t="s">
        <v>265</v>
      </c>
      <c r="AX284" s="142" t="b">
        <f t="shared" si="43"/>
        <v>1</v>
      </c>
    </row>
    <row r="285" spans="40:50" ht="12.75" customHeight="1">
      <c r="AN285" s="142" t="s">
        <v>533</v>
      </c>
      <c r="AO285" s="7" t="s">
        <v>292</v>
      </c>
      <c r="AP285" s="7" t="s">
        <v>537</v>
      </c>
      <c r="AQ285" s="7" t="s">
        <v>266</v>
      </c>
      <c r="AR285" s="7" t="s">
        <v>21</v>
      </c>
      <c r="AS285" t="s">
        <v>586</v>
      </c>
      <c r="AT285" t="s">
        <v>586</v>
      </c>
      <c r="AU285" t="s">
        <v>586</v>
      </c>
      <c r="AV285"/>
      <c r="AW285" s="344" t="s">
        <v>266</v>
      </c>
      <c r="AX285" s="142" t="b">
        <f t="shared" si="43"/>
        <v>1</v>
      </c>
    </row>
    <row r="286" spans="40:50" ht="12.75" customHeight="1">
      <c r="AN286" s="142" t="s">
        <v>533</v>
      </c>
      <c r="AO286" s="7" t="s">
        <v>292</v>
      </c>
      <c r="AP286" s="7" t="s">
        <v>537</v>
      </c>
      <c r="AQ286" s="7" t="s">
        <v>267</v>
      </c>
      <c r="AR286" s="7" t="s">
        <v>22</v>
      </c>
      <c r="AS286" t="s">
        <v>586</v>
      </c>
      <c r="AT286" t="s">
        <v>586</v>
      </c>
      <c r="AU286" t="s">
        <v>586</v>
      </c>
      <c r="AV286"/>
      <c r="AW286" s="344" t="s">
        <v>267</v>
      </c>
      <c r="AX286" s="142" t="b">
        <f t="shared" si="43"/>
        <v>1</v>
      </c>
    </row>
    <row r="287" spans="40:50" ht="12.75" customHeight="1">
      <c r="AN287" s="142" t="s">
        <v>533</v>
      </c>
      <c r="AO287" s="7" t="s">
        <v>292</v>
      </c>
      <c r="AP287" s="7" t="s">
        <v>537</v>
      </c>
      <c r="AQ287" s="7" t="s">
        <v>268</v>
      </c>
      <c r="AR287" s="7" t="s">
        <v>23</v>
      </c>
      <c r="AS287">
        <v>128</v>
      </c>
      <c r="AT287">
        <v>596</v>
      </c>
      <c r="AU287">
        <v>1070</v>
      </c>
      <c r="AV287"/>
      <c r="AW287" s="344" t="s">
        <v>268</v>
      </c>
      <c r="AX287" s="142" t="b">
        <f t="shared" si="43"/>
        <v>1</v>
      </c>
    </row>
    <row r="288" spans="40:50" ht="12.75" customHeight="1">
      <c r="AN288" s="142" t="s">
        <v>533</v>
      </c>
      <c r="AO288" s="7" t="s">
        <v>292</v>
      </c>
      <c r="AP288" s="7" t="s">
        <v>537</v>
      </c>
      <c r="AQ288" s="7" t="s">
        <v>538</v>
      </c>
      <c r="AR288" s="7" t="s">
        <v>24</v>
      </c>
      <c r="AS288">
        <v>76</v>
      </c>
      <c r="AT288">
        <v>3145</v>
      </c>
      <c r="AU288">
        <v>1441</v>
      </c>
      <c r="AV288"/>
      <c r="AW288" s="344" t="s">
        <v>538</v>
      </c>
      <c r="AX288" s="142" t="b">
        <f t="shared" si="43"/>
        <v>1</v>
      </c>
    </row>
    <row r="289" spans="40:50" ht="12.75" customHeight="1">
      <c r="AN289" s="142" t="s">
        <v>533</v>
      </c>
      <c r="AO289" s="7" t="s">
        <v>292</v>
      </c>
      <c r="AP289" s="7" t="s">
        <v>537</v>
      </c>
      <c r="AQ289" s="7" t="s">
        <v>269</v>
      </c>
      <c r="AR289" s="7" t="s">
        <v>25</v>
      </c>
      <c r="AS289">
        <v>731</v>
      </c>
      <c r="AT289">
        <v>7457</v>
      </c>
      <c r="AU289">
        <v>990</v>
      </c>
      <c r="AV289"/>
      <c r="AW289" s="344" t="s">
        <v>269</v>
      </c>
      <c r="AX289" s="142" t="b">
        <f t="shared" si="43"/>
        <v>1</v>
      </c>
    </row>
    <row r="290" spans="40:50" ht="12.75" customHeight="1">
      <c r="AN290" s="142" t="s">
        <v>533</v>
      </c>
      <c r="AO290" s="7" t="s">
        <v>292</v>
      </c>
      <c r="AP290" s="7" t="s">
        <v>537</v>
      </c>
      <c r="AQ290" s="7" t="s">
        <v>270</v>
      </c>
      <c r="AR290" s="7" t="s">
        <v>26</v>
      </c>
      <c r="AS290">
        <v>6</v>
      </c>
      <c r="AT290">
        <v>90</v>
      </c>
      <c r="AU290">
        <v>2625</v>
      </c>
      <c r="AV290"/>
      <c r="AW290" s="344" t="s">
        <v>270</v>
      </c>
      <c r="AX290" s="142" t="b">
        <f t="shared" si="43"/>
        <v>1</v>
      </c>
    </row>
    <row r="291" spans="40:50" ht="12.75" customHeight="1">
      <c r="AN291" s="142" t="s">
        <v>533</v>
      </c>
      <c r="AO291" s="7" t="s">
        <v>292</v>
      </c>
      <c r="AP291" s="7" t="s">
        <v>537</v>
      </c>
      <c r="AQ291" s="7" t="s">
        <v>271</v>
      </c>
      <c r="AR291" s="7" t="s">
        <v>27</v>
      </c>
      <c r="AS291">
        <v>38</v>
      </c>
      <c r="AT291">
        <v>262</v>
      </c>
      <c r="AU291">
        <v>1395</v>
      </c>
      <c r="AV291"/>
      <c r="AW291" s="344" t="s">
        <v>271</v>
      </c>
      <c r="AX291" s="142" t="b">
        <f t="shared" si="43"/>
        <v>1</v>
      </c>
    </row>
    <row r="292" spans="40:50" ht="12.75" customHeight="1">
      <c r="AN292" s="142" t="s">
        <v>533</v>
      </c>
      <c r="AO292" s="7" t="s">
        <v>292</v>
      </c>
      <c r="AP292" s="7" t="s">
        <v>537</v>
      </c>
      <c r="AQ292" s="7" t="s">
        <v>539</v>
      </c>
      <c r="AR292" s="7" t="s">
        <v>28</v>
      </c>
      <c r="AS292">
        <v>134</v>
      </c>
      <c r="AT292">
        <v>2365</v>
      </c>
      <c r="AU292">
        <v>792</v>
      </c>
      <c r="AV292"/>
      <c r="AW292" s="344" t="s">
        <v>539</v>
      </c>
      <c r="AX292" s="142" t="b">
        <f t="shared" si="43"/>
        <v>1</v>
      </c>
    </row>
    <row r="293" spans="40:50" ht="12.75" customHeight="1">
      <c r="AN293" s="142" t="s">
        <v>533</v>
      </c>
      <c r="AO293" s="7" t="s">
        <v>292</v>
      </c>
      <c r="AP293" s="7" t="s">
        <v>537</v>
      </c>
      <c r="AQ293" s="7" t="s">
        <v>540</v>
      </c>
      <c r="AR293" s="7" t="s">
        <v>29</v>
      </c>
      <c r="AS293">
        <v>22</v>
      </c>
      <c r="AT293">
        <v>168</v>
      </c>
      <c r="AU293">
        <v>948</v>
      </c>
      <c r="AV293"/>
      <c r="AW293" s="344" t="s">
        <v>540</v>
      </c>
      <c r="AX293" s="142" t="b">
        <f t="shared" si="43"/>
        <v>1</v>
      </c>
    </row>
    <row r="294" spans="40:50" ht="12.75" customHeight="1">
      <c r="AN294" s="142" t="s">
        <v>533</v>
      </c>
      <c r="AO294" s="7" t="s">
        <v>292</v>
      </c>
      <c r="AP294" s="7" t="s">
        <v>537</v>
      </c>
      <c r="AQ294" s="7" t="s">
        <v>272</v>
      </c>
      <c r="AR294" s="7" t="s">
        <v>30</v>
      </c>
      <c r="AS294">
        <v>13</v>
      </c>
      <c r="AT294">
        <v>79</v>
      </c>
      <c r="AU294">
        <v>1325</v>
      </c>
      <c r="AV294"/>
      <c r="AW294" s="344" t="s">
        <v>272</v>
      </c>
      <c r="AX294" s="142" t="b">
        <f t="shared" si="43"/>
        <v>1</v>
      </c>
    </row>
    <row r="295" spans="40:50" ht="12.75" customHeight="1">
      <c r="AN295" s="142" t="s">
        <v>533</v>
      </c>
      <c r="AO295" s="7" t="s">
        <v>292</v>
      </c>
      <c r="AP295" s="7" t="s">
        <v>537</v>
      </c>
      <c r="AQ295" s="7" t="s">
        <v>273</v>
      </c>
      <c r="AR295" s="7" t="s">
        <v>31</v>
      </c>
      <c r="AS295">
        <v>32</v>
      </c>
      <c r="AT295">
        <v>310</v>
      </c>
      <c r="AU295">
        <v>1485</v>
      </c>
      <c r="AV295"/>
      <c r="AW295" s="344" t="s">
        <v>273</v>
      </c>
      <c r="AX295" s="142" t="b">
        <f t="shared" si="43"/>
        <v>1</v>
      </c>
    </row>
    <row r="296" spans="40:50" ht="12.75" customHeight="1">
      <c r="AN296" s="142" t="s">
        <v>533</v>
      </c>
      <c r="AO296" s="7" t="s">
        <v>292</v>
      </c>
      <c r="AP296" s="7" t="s">
        <v>537</v>
      </c>
      <c r="AQ296" s="7" t="s">
        <v>274</v>
      </c>
      <c r="AR296" s="7" t="s">
        <v>32</v>
      </c>
      <c r="AS296">
        <v>31</v>
      </c>
      <c r="AT296">
        <v>107</v>
      </c>
      <c r="AU296">
        <v>831</v>
      </c>
      <c r="AV296"/>
      <c r="AW296" s="344" t="s">
        <v>274</v>
      </c>
      <c r="AX296" s="142" t="b">
        <f t="shared" si="43"/>
        <v>1</v>
      </c>
    </row>
    <row r="297" spans="40:50" ht="12.75" customHeight="1">
      <c r="AN297" s="142" t="s">
        <v>533</v>
      </c>
      <c r="AO297" s="7" t="s">
        <v>292</v>
      </c>
      <c r="AP297" s="7" t="s">
        <v>537</v>
      </c>
      <c r="AQ297" s="7" t="s">
        <v>275</v>
      </c>
      <c r="AR297" s="7" t="s">
        <v>33</v>
      </c>
      <c r="AS297">
        <v>68</v>
      </c>
      <c r="AT297">
        <v>425</v>
      </c>
      <c r="AU297">
        <v>1865</v>
      </c>
      <c r="AV297"/>
      <c r="AW297" s="344" t="s">
        <v>275</v>
      </c>
      <c r="AX297" s="142" t="b">
        <f t="shared" si="43"/>
        <v>1</v>
      </c>
    </row>
    <row r="298" spans="40:50" ht="12.75" customHeight="1">
      <c r="AN298" s="142" t="s">
        <v>533</v>
      </c>
      <c r="AO298" s="7" t="s">
        <v>292</v>
      </c>
      <c r="AP298" s="7" t="s">
        <v>537</v>
      </c>
      <c r="AQ298" s="7" t="s">
        <v>276</v>
      </c>
      <c r="AR298" s="7" t="s">
        <v>34</v>
      </c>
      <c r="AS298">
        <v>7</v>
      </c>
      <c r="AT298">
        <v>69</v>
      </c>
      <c r="AU298">
        <v>2864</v>
      </c>
      <c r="AV298" s="339"/>
      <c r="AW298" s="344" t="s">
        <v>276</v>
      </c>
      <c r="AX298" s="142" t="b">
        <f t="shared" si="43"/>
        <v>1</v>
      </c>
    </row>
    <row r="299" spans="40:50" ht="12.75" customHeight="1">
      <c r="AN299" s="142" t="s">
        <v>533</v>
      </c>
      <c r="AO299" s="7" t="s">
        <v>292</v>
      </c>
      <c r="AP299" s="7" t="s">
        <v>537</v>
      </c>
      <c r="AQ299" s="7" t="s">
        <v>277</v>
      </c>
      <c r="AR299" s="7" t="s">
        <v>35</v>
      </c>
      <c r="AS299">
        <v>74</v>
      </c>
      <c r="AT299">
        <v>585</v>
      </c>
      <c r="AU299">
        <v>822</v>
      </c>
      <c r="AV299"/>
      <c r="AW299" s="344" t="s">
        <v>277</v>
      </c>
      <c r="AX299" s="142" t="b">
        <f t="shared" si="43"/>
        <v>1</v>
      </c>
    </row>
    <row r="300" spans="40:50" ht="12.75" customHeight="1">
      <c r="AN300" s="142" t="s">
        <v>533</v>
      </c>
      <c r="AO300" s="7" t="s">
        <v>292</v>
      </c>
      <c r="AP300" s="7" t="s">
        <v>537</v>
      </c>
      <c r="AQ300" s="7" t="s">
        <v>278</v>
      </c>
      <c r="AR300" s="7" t="s">
        <v>36</v>
      </c>
      <c r="AS300">
        <v>18</v>
      </c>
      <c r="AT300">
        <v>383</v>
      </c>
      <c r="AU300">
        <v>935</v>
      </c>
      <c r="AV300"/>
      <c r="AW300" s="344" t="s">
        <v>278</v>
      </c>
      <c r="AX300" s="142" t="b">
        <f t="shared" si="43"/>
        <v>1</v>
      </c>
    </row>
    <row r="301" spans="40:50" ht="12.75" customHeight="1">
      <c r="AN301" s="142" t="s">
        <v>533</v>
      </c>
      <c r="AO301" s="7" t="s">
        <v>292</v>
      </c>
      <c r="AP301" s="7" t="s">
        <v>537</v>
      </c>
      <c r="AQ301" s="7" t="s">
        <v>279</v>
      </c>
      <c r="AR301" s="7" t="s">
        <v>37</v>
      </c>
      <c r="AS301">
        <v>108</v>
      </c>
      <c r="AT301">
        <v>1409</v>
      </c>
      <c r="AU301">
        <v>1044</v>
      </c>
      <c r="AV301"/>
      <c r="AW301" s="344" t="s">
        <v>279</v>
      </c>
      <c r="AX301" s="142" t="b">
        <f t="shared" si="43"/>
        <v>1</v>
      </c>
    </row>
    <row r="302" spans="40:50" ht="12.75" customHeight="1">
      <c r="AN302" s="142" t="s">
        <v>533</v>
      </c>
      <c r="AO302" s="7" t="s">
        <v>292</v>
      </c>
      <c r="AP302" s="7" t="s">
        <v>537</v>
      </c>
      <c r="AQ302" s="7" t="s">
        <v>280</v>
      </c>
      <c r="AR302" s="7" t="s">
        <v>38</v>
      </c>
      <c r="AS302">
        <v>14</v>
      </c>
      <c r="AT302">
        <v>92</v>
      </c>
      <c r="AU302">
        <v>967</v>
      </c>
      <c r="AV302"/>
      <c r="AW302" s="344" t="s">
        <v>280</v>
      </c>
      <c r="AX302" s="142" t="b">
        <f t="shared" si="43"/>
        <v>1</v>
      </c>
    </row>
    <row r="303" spans="40:50" ht="12.75" customHeight="1">
      <c r="AN303" s="142" t="s">
        <v>533</v>
      </c>
      <c r="AO303" s="7" t="s">
        <v>292</v>
      </c>
      <c r="AP303" s="7" t="s">
        <v>537</v>
      </c>
      <c r="AQ303" s="7" t="s">
        <v>281</v>
      </c>
      <c r="AR303" s="7" t="s">
        <v>39</v>
      </c>
      <c r="AS303">
        <v>68</v>
      </c>
      <c r="AT303">
        <v>811</v>
      </c>
      <c r="AU303">
        <v>531</v>
      </c>
      <c r="AV303"/>
      <c r="AW303" s="344" t="s">
        <v>281</v>
      </c>
      <c r="AX303" s="142" t="b">
        <f t="shared" si="43"/>
        <v>1</v>
      </c>
    </row>
    <row r="304" spans="40:50" ht="12.75" customHeight="1">
      <c r="AN304" s="142" t="s">
        <v>533</v>
      </c>
      <c r="AO304" s="7" t="s">
        <v>292</v>
      </c>
      <c r="AP304" s="7" t="s">
        <v>537</v>
      </c>
      <c r="AQ304" s="7" t="s">
        <v>282</v>
      </c>
      <c r="AR304" s="7" t="s">
        <v>40</v>
      </c>
      <c r="AS304">
        <v>90</v>
      </c>
      <c r="AT304">
        <v>288</v>
      </c>
      <c r="AU304">
        <v>905</v>
      </c>
      <c r="AV304"/>
      <c r="AW304" s="344" t="s">
        <v>282</v>
      </c>
      <c r="AX304" s="142" t="b">
        <f t="shared" si="43"/>
        <v>1</v>
      </c>
    </row>
    <row r="305" spans="40:50" ht="12.75" customHeight="1">
      <c r="AN305" s="142" t="s">
        <v>533</v>
      </c>
      <c r="AO305" s="7" t="s">
        <v>292</v>
      </c>
      <c r="AP305" s="7" t="s">
        <v>537</v>
      </c>
      <c r="AQ305" s="7" t="s">
        <v>283</v>
      </c>
      <c r="AR305" s="7" t="s">
        <v>41</v>
      </c>
      <c r="AS305" t="s">
        <v>586</v>
      </c>
      <c r="AT305" t="s">
        <v>586</v>
      </c>
      <c r="AU305" t="s">
        <v>586</v>
      </c>
      <c r="AV305"/>
      <c r="AW305" s="344" t="s">
        <v>283</v>
      </c>
      <c r="AX305" s="142" t="b">
        <f t="shared" si="43"/>
        <v>1</v>
      </c>
    </row>
    <row r="306" spans="40:50" ht="12.75" customHeight="1">
      <c r="AN306" s="142" t="s">
        <v>533</v>
      </c>
      <c r="AO306" s="7" t="s">
        <v>292</v>
      </c>
      <c r="AP306" s="7" t="s">
        <v>541</v>
      </c>
      <c r="AQ306" s="86" t="s">
        <v>536</v>
      </c>
      <c r="AR306" s="7" t="s">
        <v>44</v>
      </c>
      <c r="AS306">
        <v>93</v>
      </c>
      <c r="AT306">
        <v>2289</v>
      </c>
      <c r="AU306">
        <v>962</v>
      </c>
      <c r="AV306"/>
      <c r="AW306" s="344" t="s">
        <v>536</v>
      </c>
      <c r="AX306" s="142" t="b">
        <f t="shared" si="43"/>
        <v>1</v>
      </c>
    </row>
    <row r="307" spans="40:50" ht="12.75" customHeight="1">
      <c r="AN307" s="142" t="s">
        <v>533</v>
      </c>
      <c r="AO307" s="7" t="s">
        <v>292</v>
      </c>
      <c r="AP307" s="7" t="s">
        <v>542</v>
      </c>
      <c r="AQ307" s="86" t="s">
        <v>536</v>
      </c>
      <c r="AR307" s="7" t="s">
        <v>45</v>
      </c>
      <c r="AS307">
        <v>16</v>
      </c>
      <c r="AT307">
        <v>74</v>
      </c>
      <c r="AU307">
        <v>1639</v>
      </c>
      <c r="AV307"/>
      <c r="AW307" s="344" t="s">
        <v>536</v>
      </c>
      <c r="AX307" s="142" t="b">
        <f t="shared" si="43"/>
        <v>1</v>
      </c>
    </row>
    <row r="308" spans="40:50" ht="12.75" customHeight="1">
      <c r="AN308" s="142" t="s">
        <v>533</v>
      </c>
      <c r="AO308" s="7" t="s">
        <v>292</v>
      </c>
      <c r="AP308" s="7" t="s">
        <v>543</v>
      </c>
      <c r="AQ308" s="86" t="s">
        <v>536</v>
      </c>
      <c r="AR308" s="7" t="s">
        <v>46</v>
      </c>
      <c r="AS308">
        <v>23</v>
      </c>
      <c r="AT308">
        <v>257</v>
      </c>
      <c r="AU308">
        <v>971</v>
      </c>
      <c r="AV308"/>
      <c r="AW308" s="344" t="s">
        <v>536</v>
      </c>
      <c r="AX308" s="142" t="b">
        <f t="shared" si="43"/>
        <v>1</v>
      </c>
    </row>
    <row r="309" spans="40:50" ht="12.75" customHeight="1">
      <c r="AN309" s="142" t="s">
        <v>533</v>
      </c>
      <c r="AO309" s="7" t="s">
        <v>292</v>
      </c>
      <c r="AP309" s="7" t="s">
        <v>544</v>
      </c>
      <c r="AQ309" s="86" t="s">
        <v>536</v>
      </c>
      <c r="AR309" s="7" t="s">
        <v>47</v>
      </c>
      <c r="AS309">
        <v>54</v>
      </c>
      <c r="AT309">
        <v>1957</v>
      </c>
      <c r="AU309">
        <v>935</v>
      </c>
      <c r="AV309"/>
      <c r="AW309" s="344" t="s">
        <v>536</v>
      </c>
      <c r="AX309" s="142" t="b">
        <f t="shared" si="43"/>
        <v>1</v>
      </c>
    </row>
    <row r="310" spans="40:50" ht="12.75" customHeight="1">
      <c r="AN310" s="142" t="s">
        <v>533</v>
      </c>
      <c r="AQ310" s="86"/>
      <c r="AS310"/>
      <c r="AT310"/>
      <c r="AU310"/>
    </row>
  </sheetData>
  <mergeCells count="7">
    <mergeCell ref="O40:R40"/>
    <mergeCell ref="O41:R41"/>
    <mergeCell ref="J32:L32"/>
    <mergeCell ref="J33:L33"/>
    <mergeCell ref="C34:D34"/>
    <mergeCell ref="E34:F34"/>
    <mergeCell ref="E35:F35"/>
  </mergeCells>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Report</vt:lpstr>
      <vt:lpstr>LaborForce</vt:lpstr>
      <vt:lpstr>CES</vt:lpstr>
      <vt:lpstr>CPI</vt:lpstr>
      <vt:lpstr>Permits</vt:lpstr>
      <vt:lpstr>Claims</vt:lpstr>
      <vt:lpstr>Duration</vt:lpstr>
      <vt:lpstr>QCEW</vt:lpstr>
      <vt:lpstr>LaborForce!Print_Area</vt:lpstr>
      <vt:lpstr>Report!Print_Area</vt:lpstr>
      <vt:lpstr>LaborForce!Print_Titles</vt:lpstr>
      <vt:lpstr>LaborForce!top</vt:lpstr>
    </vt:vector>
  </TitlesOfParts>
  <Company>NHES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Katrina.J.Evans</dc:creator>
  <cp:lastModifiedBy>Mikelson, David</cp:lastModifiedBy>
  <cp:lastPrinted>2021-01-28T15:23:53Z</cp:lastPrinted>
  <dcterms:created xsi:type="dcterms:W3CDTF">2011-03-03T13:34:06Z</dcterms:created>
  <dcterms:modified xsi:type="dcterms:W3CDTF">2024-10-30T14:59:42Z</dcterms:modified>
</cp:coreProperties>
</file>